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450" windowHeight="6000" tabRatio="891" firstSheet="2" activeTab="13"/>
  </bookViews>
  <sheets>
    <sheet name="Read Me" sheetId="1" r:id="rId1"/>
    <sheet name="Autogenous Mill" sheetId="2" r:id="rId2"/>
    <sheet name="SAG- BM Combination" sheetId="3" r:id="rId3"/>
    <sheet name="AM Graph" sheetId="4" r:id="rId4"/>
    <sheet name="Data Base - AM" sheetId="5" r:id="rId5"/>
    <sheet name="Rodmill " sheetId="6" r:id="rId6"/>
    <sheet name="RM Graph" sheetId="7" r:id="rId7"/>
    <sheet name="Ballmill" sheetId="8" r:id="rId8"/>
    <sheet name="BM Graph" sheetId="9" r:id="rId9"/>
    <sheet name="Data Base - BM" sheetId="10" r:id="rId10"/>
    <sheet name="Pebble Mill" sheetId="11" r:id="rId11"/>
    <sheet name="PM Graph" sheetId="12" r:id="rId12"/>
    <sheet name="Towermill " sheetId="13" r:id="rId13"/>
    <sheet name="HPGR" sheetId="14" r:id="rId14"/>
  </sheets>
  <definedNames>
    <definedName name="_xlnm.Print_Area" localSheetId="1">'Autogenous Mill'!$A$1:$F$92</definedName>
    <definedName name="_xlnm.Print_Area" localSheetId="7">'Ballmill'!$A$1:$F$60</definedName>
    <definedName name="_xlnm.Print_Area" localSheetId="13">'HPGR'!$A$1:$F$29</definedName>
    <definedName name="_xlnm.Print_Area" localSheetId="10">'Pebble Mill'!$A$1:$F$57</definedName>
    <definedName name="_xlnm.Print_Area" localSheetId="5">'Rodmill '!$A$1:$F$58</definedName>
    <definedName name="_xlnm.Print_Area" localSheetId="2">'SAG- BM Combination'!$A$1:$F$155</definedName>
    <definedName name="_xlnm.Print_Area" localSheetId="12">'Towermill '!$A$1:$F$36</definedName>
    <definedName name="_xlnm.Print_Titles" localSheetId="1">'Autogenous Mill'!$1:$5</definedName>
    <definedName name="_xlnm.Print_Titles" localSheetId="7">'Ballmill'!$1:$4</definedName>
    <definedName name="_xlnm.Print_Titles" localSheetId="10">'Pebble Mill'!$1:$4</definedName>
    <definedName name="_xlnm.Print_Titles" localSheetId="5">'Rodmill '!$1:$4</definedName>
  </definedNames>
  <calcPr fullCalcOnLoad="1"/>
</workbook>
</file>

<file path=xl/comments14.xml><?xml version="1.0" encoding="utf-8"?>
<comments xmlns="http://schemas.openxmlformats.org/spreadsheetml/2006/main">
  <authors>
    <author>A satisfied Microsoft Office user</author>
  </authors>
  <commentList>
    <comment ref="F13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4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5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6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7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E22" authorId="0">
      <text>
        <r>
          <rPr>
            <sz val="7"/>
            <rFont val="Tahoma"/>
            <family val="0"/>
          </rPr>
          <t xml:space="preserve">Ball Mill Factor - Kb
Rf=Frm/Prm
Optimum Rod Mill feed size =
Fo=4000*(13/Wibm)^0.5
Ef4=(Rr+(Wibm-7)(Fbm-Fo)/Fo)/Rr
Ef5=(Pbm+10.3)/1.145*Pbm
Rro=8+5*(L-.05)/D L=mill length D=diameter
Ef6=1+((Rr-Rro)^2)/150 RM only
Ef7=1+(0.26)/2*(Rr-1.35) - if Rr&lt;6 BMonly
Ef8=1.0
Kb=Ef4*Ef5*Ef6*Ef7*Ef8
</t>
        </r>
      </text>
    </comment>
    <comment ref="F22" authorId="0">
      <text>
        <r>
          <rPr>
            <sz val="7"/>
            <rFont val="Tahoma"/>
            <family val="0"/>
          </rPr>
          <t xml:space="preserve">Ball Mill Factor - Kb
Rf=Frm/Prm
Optimum Rod Mill feed size =
Fo=4000*(13/Wibm)^0.5
Ef4=(Rr+(Wibm-7)(Fbm-Fo)/Fo)/Rr
Ef5=(Pbm+10.3)/1.145*Pbm
Rro=8+5*(L-.05)/D L=mill length D=diameter
Ef6=1+((Rr-Rro)^2)/150 RM only
Ef7=1+(0.26)/2*(Rr-1.35) - if Rr&lt;6 BMonly
Ef8=1.0
Kb=Ef4*Ef5*Ef6*Ef7*Ef8
</t>
        </r>
      </text>
    </comment>
    <comment ref="F24" authorId="0">
      <text>
        <r>
          <rPr>
            <sz val="7"/>
            <rFont val="Tahoma"/>
            <family val="0"/>
          </rPr>
          <t>Overall Factor - Kwh/T
(CP+RMP*Kr+BMP*Kb)*1.25-PP*Kb</t>
        </r>
      </text>
    </comment>
    <comment ref="F25" authorId="0">
      <text>
        <r>
          <rPr>
            <sz val="7"/>
            <rFont val="Tahoma"/>
            <family val="0"/>
          </rPr>
          <t xml:space="preserve">Overall Power :-
Power Factor * Wet grinding factor * Closed circuit factor *Steel lined Factor
</t>
        </r>
      </text>
    </comment>
    <comment ref="F27" authorId="0">
      <text>
        <r>
          <rPr>
            <sz val="7"/>
            <rFont val="Tahoma"/>
            <family val="0"/>
          </rPr>
          <t>Overall Power per tonne * Tonnes</t>
        </r>
      </text>
    </comment>
    <comment ref="F28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F14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5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6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7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8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E31" authorId="0">
      <text>
        <r>
          <rPr>
            <sz val="7"/>
            <rFont val="Tahoma"/>
            <family val="0"/>
          </rPr>
          <t xml:space="preserve">Ball Mill Factor - Kb
Rf=Frm/Prm
Optimum Rod Mill feed size =
Fo=4000*(13/Wibm)^0.5
Ef4=(Rr+(Wibm-7)(Fbm-Fo)/Fo)/Rr
Ef5=(Pbm+10.3)/1.145*Pbm
Rro=8+5*(L-.05)/D L=mill length D=diameter
Ef6=1+((Rr-Rro)^2)/150 RM only
Ef7=1+(0.26)/2*(Rr-1.35) - if Rr&lt;6 BMonly
Ef8=1.0
Kb=Ef4*Ef5*Ef6*Ef7*Ef8
</t>
        </r>
      </text>
    </comment>
    <comment ref="F31" authorId="0">
      <text>
        <r>
          <rPr>
            <sz val="7"/>
            <rFont val="Tahoma"/>
            <family val="0"/>
          </rPr>
          <t xml:space="preserve">Ball Mill Factor - Kb
Rf=Frm/Prm
Optimum Rod Mill feed size =
Fo=4000*(13/Wibm)^0.5
Ef4=(Rr+(Wibm-7)(Fbm-Fo)/Fo)/Rr
Ef5=(Pbm+10.3)/1.145*Pbm
Rro=8+5*(L-.05)/D L=mill length D=diameter
Ef6=1+((Rr-Rro)^2)/150 RM only
Ef7=1+(0.26)/2*(Rr-1.35) - if Rr&lt;6 BMonly
Ef8=1.0
Kb=Ef4*Ef5*Ef6*Ef7*Ef8
</t>
        </r>
      </text>
    </comment>
    <comment ref="F33" authorId="0">
      <text>
        <r>
          <rPr>
            <sz val="7"/>
            <rFont val="Tahoma"/>
            <family val="0"/>
          </rPr>
          <t>Overall Factor - Kwh/T
(CP+RMP*Kr+BMP*Kb)*1.25-PP*Kb</t>
        </r>
      </text>
    </comment>
    <comment ref="F34" authorId="0">
      <text>
        <r>
          <rPr>
            <sz val="7"/>
            <rFont val="Tahoma"/>
            <family val="0"/>
          </rPr>
          <t xml:space="preserve">Overall Power :-
Power Factor * Wet grinding factor * Closed circuit factor *Steel lined Factor
</t>
        </r>
      </text>
    </comment>
    <comment ref="F36" authorId="0">
      <text>
        <r>
          <rPr>
            <sz val="7"/>
            <rFont val="Tahoma"/>
            <family val="0"/>
          </rPr>
          <t>Overall Power per tonne * Tonnes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F13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4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5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6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F17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  <comment ref="E30" authorId="0">
      <text>
        <r>
          <rPr>
            <sz val="7"/>
            <rFont val="Tahoma"/>
            <family val="0"/>
          </rPr>
          <t xml:space="preserve">Ball Mill Factor - Kb
Rf=Frm/Prm
Optimum Rod Mill feed size =
Fo=4000*(13/Wibm)^0.5
Ef4=(Rr+(Wibm-7)(Fbm-Fo)/Fo)/Rr
Ef5=(Pbm+10.3)/1.145*Pbm
Rro=8+5*(L-.05)/D L=mill length D=diameter
Ef6=1+((Rr-Rro)^2)/150 RM only
Ef7=1+(0.26)/2*(Rr-1.35) - if Rr&lt;6 BMonly
Ef8=1.0
Kb=Ef4*Ef5*Ef6*Ef7*Ef8
</t>
        </r>
      </text>
    </comment>
    <comment ref="F30" authorId="0">
      <text>
        <r>
          <rPr>
            <sz val="7"/>
            <rFont val="Tahoma"/>
            <family val="0"/>
          </rPr>
          <t xml:space="preserve">Ball Mill Factor - Kb
Rf=Frm/Prm
Optimum Rod Mill feed size =
Fo=4000*(13/Wibm)^0.5
Ef4=(Rr+(Wibm-7)(Fbm-Fo)/Fo)/Rr
Ef5=(Pbm+10.3)/1.145*Pbm
Rro=8+5*(L-.05)/D L=mill length D=diameter
Ef6=1+((Rr-Rro)^2)/150 RM only
Ef7=1+(0.26)/2*(Rr-1.35) - if Rr&lt;6 BMonly
Ef8=1.0
Kb=Ef4*Ef5*Ef6*Ef7*Ef8
</t>
        </r>
      </text>
    </comment>
    <comment ref="F32" authorId="0">
      <text>
        <r>
          <rPr>
            <sz val="7"/>
            <rFont val="Tahoma"/>
            <family val="0"/>
          </rPr>
          <t>Overall Factor - Kwh/T
(CP+RMP*Kr+BMP*Kb)*1.25-PP*Kb</t>
        </r>
      </text>
    </comment>
    <comment ref="F33" authorId="0">
      <text>
        <r>
          <rPr>
            <sz val="7"/>
            <rFont val="Tahoma"/>
            <family val="0"/>
          </rPr>
          <t xml:space="preserve">Overall Power :-
Power Factor * Wet grinding factor * Closed circuit factor *Steel lined Factor
</t>
        </r>
      </text>
    </comment>
    <comment ref="F35" authorId="0">
      <text>
        <r>
          <rPr>
            <sz val="7"/>
            <rFont val="Tahoma"/>
            <family val="0"/>
          </rPr>
          <t>Overall Power per tonne * Tonnes</t>
        </r>
      </text>
    </comment>
    <comment ref="F36" authorId="0">
      <text>
        <r>
          <rPr>
            <sz val="7"/>
            <rFont val="Tahoma"/>
            <family val="0"/>
          </rPr>
          <t xml:space="preserve">Crushing Power equals 
10*Wic(1/SQRT(Frm)-1/SQRT(Fag))
</t>
        </r>
      </text>
    </comment>
  </commentList>
</comments>
</file>

<file path=xl/sharedStrings.xml><?xml version="1.0" encoding="utf-8"?>
<sst xmlns="http://schemas.openxmlformats.org/spreadsheetml/2006/main" count="2099" uniqueCount="511">
  <si>
    <t>Project  Name</t>
  </si>
  <si>
    <t>Date</t>
  </si>
  <si>
    <t>IMM</t>
  </si>
  <si>
    <t>SAG/AG</t>
  </si>
  <si>
    <t>POWER CALCULATION</t>
  </si>
  <si>
    <t>Diameter</t>
  </si>
  <si>
    <t>D</t>
  </si>
  <si>
    <t>Project Number</t>
  </si>
  <si>
    <t>Client</t>
  </si>
  <si>
    <t>Case</t>
  </si>
  <si>
    <t>Prepared by</t>
  </si>
  <si>
    <t>C</t>
  </si>
  <si>
    <t>Area</t>
  </si>
  <si>
    <t>Height</t>
  </si>
  <si>
    <t>% Area</t>
  </si>
  <si>
    <t>Height from top</t>
  </si>
  <si>
    <t>Height from centre</t>
  </si>
  <si>
    <t>Vol=</t>
  </si>
  <si>
    <t>Vol</t>
  </si>
  <si>
    <t>Sl Vol</t>
  </si>
  <si>
    <t>Duty</t>
  </si>
  <si>
    <t>Checked by</t>
  </si>
  <si>
    <t>E</t>
  </si>
  <si>
    <t>Ball Voidage</t>
  </si>
  <si>
    <t>Angle</t>
  </si>
  <si>
    <t>No of units</t>
  </si>
  <si>
    <t>Rev No</t>
  </si>
  <si>
    <t>g</t>
  </si>
  <si>
    <t>Jb</t>
  </si>
  <si>
    <t>Ball Charge</t>
  </si>
  <si>
    <t>subtraction</t>
  </si>
  <si>
    <t>New D</t>
  </si>
  <si>
    <t>Height as proportion</t>
  </si>
  <si>
    <t>Area as proportion</t>
  </si>
  <si>
    <t>Diff</t>
  </si>
  <si>
    <t>Jt</t>
  </si>
  <si>
    <t>Total charge</t>
  </si>
  <si>
    <t>Autogenous and Semi Autogenous Mill</t>
  </si>
  <si>
    <t>PAGE 1</t>
  </si>
  <si>
    <t>k</t>
  </si>
  <si>
    <t>L</t>
  </si>
  <si>
    <t>Mill Feed Rate tph</t>
  </si>
  <si>
    <t>Chosen Intermediate sizes</t>
  </si>
  <si>
    <t>Lc</t>
  </si>
  <si>
    <t>Dry Solids S.G.</t>
  </si>
  <si>
    <t>Rod  Mill</t>
  </si>
  <si>
    <t>Ball Mill</t>
  </si>
  <si>
    <t>Ld</t>
  </si>
  <si>
    <r>
      <t>F</t>
    </r>
    <r>
      <rPr>
        <vertAlign val="subscript"/>
        <sz val="10"/>
        <rFont val="Arial"/>
        <family val="2"/>
      </rPr>
      <t>80</t>
    </r>
    <r>
      <rPr>
        <vertAlign val="subscript"/>
        <sz val="10"/>
        <rFont val="Symbol"/>
        <family val="1"/>
      </rPr>
      <t xml:space="preserve">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</si>
  <si>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Nom Rod Mill feed size should be less than feed </t>
  </si>
  <si>
    <t>Li</t>
  </si>
  <si>
    <r>
      <t>P</t>
    </r>
    <r>
      <rPr>
        <vertAlign val="subscript"/>
        <sz val="10"/>
        <rFont val="Arial"/>
        <family val="2"/>
      </rPr>
      <t xml:space="preserve">80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</si>
  <si>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Transfer size to nom Ball Mill should be greater than P80 of AM</t>
  </si>
  <si>
    <t>Nm</t>
  </si>
  <si>
    <r>
      <t xml:space="preserve">Work Index </t>
    </r>
    <r>
      <rPr>
        <sz val="8"/>
        <rFont val="Arial"/>
        <family val="2"/>
      </rPr>
      <t>(Crushing ) kWh/t</t>
    </r>
  </si>
  <si>
    <t>Crushing Power kWh/t</t>
  </si>
  <si>
    <t>-75+50mm</t>
  </si>
  <si>
    <t>Product Power</t>
  </si>
  <si>
    <r>
      <t>CP=10*Wic(1/SQRT(F</t>
    </r>
    <r>
      <rPr>
        <sz val="8"/>
        <rFont val="Arial"/>
        <family val="2"/>
      </rPr>
      <t>RM</t>
    </r>
    <r>
      <rPr>
        <sz val="10"/>
        <rFont val="Arial"/>
        <family val="0"/>
      </rPr>
      <t>) -1/SQRT(F</t>
    </r>
    <r>
      <rPr>
        <sz val="8"/>
        <rFont val="Arial"/>
        <family val="2"/>
      </rPr>
      <t>AG)</t>
    </r>
    <r>
      <rPr>
        <sz val="10"/>
        <rFont val="Arial"/>
        <family val="0"/>
      </rPr>
      <t>)</t>
    </r>
  </si>
  <si>
    <t>Nr</t>
  </si>
  <si>
    <r>
      <t xml:space="preserve">Work Index </t>
    </r>
    <r>
      <rPr>
        <sz val="8"/>
        <rFont val="Arial"/>
        <family val="2"/>
      </rPr>
      <t>(Rod Mill) kWh/t</t>
    </r>
  </si>
  <si>
    <t>Intermediate Grinding kWh/t</t>
  </si>
  <si>
    <r>
      <t>RMP=10*Wi</t>
    </r>
    <r>
      <rPr>
        <sz val="8"/>
        <rFont val="Arial"/>
        <family val="2"/>
      </rPr>
      <t>R</t>
    </r>
    <r>
      <rPr>
        <sz val="10"/>
        <rFont val="Arial"/>
        <family val="0"/>
      </rPr>
      <t>(1/SQRT(F</t>
    </r>
    <r>
      <rPr>
        <sz val="8"/>
        <rFont val="Arial"/>
        <family val="2"/>
      </rPr>
      <t>BM</t>
    </r>
    <r>
      <rPr>
        <sz val="10"/>
        <rFont val="Arial"/>
        <family val="0"/>
      </rPr>
      <t>) -1/SQRT(F</t>
    </r>
    <r>
      <rPr>
        <sz val="8"/>
        <rFont val="Arial"/>
        <family val="2"/>
      </rPr>
      <t>RM)</t>
    </r>
    <r>
      <rPr>
        <sz val="10"/>
        <rFont val="Arial"/>
        <family val="0"/>
      </rPr>
      <t>)</t>
    </r>
  </si>
  <si>
    <t>Pt</t>
  </si>
  <si>
    <r>
      <t xml:space="preserve">Work Index </t>
    </r>
    <r>
      <rPr>
        <sz val="8"/>
        <rFont val="Arial"/>
        <family val="2"/>
      </rPr>
      <t>(Ball Mill) kWh/t</t>
    </r>
  </si>
  <si>
    <t>Fine Grinding kWh/t</t>
  </si>
  <si>
    <r>
      <t>BMP=10*Wi</t>
    </r>
    <r>
      <rPr>
        <sz val="8"/>
        <rFont val="Arial"/>
        <family val="2"/>
      </rPr>
      <t>BM</t>
    </r>
    <r>
      <rPr>
        <sz val="10"/>
        <rFont val="Arial"/>
        <family val="0"/>
      </rPr>
      <t>(1/SQRT(110) -1/SQRT(F</t>
    </r>
    <r>
      <rPr>
        <sz val="8"/>
        <rFont val="Arial"/>
        <family val="2"/>
      </rPr>
      <t>BM)</t>
    </r>
    <r>
      <rPr>
        <sz val="10"/>
        <rFont val="Arial"/>
        <family val="0"/>
      </rPr>
      <t>)</t>
    </r>
  </si>
  <si>
    <t>Pc</t>
  </si>
  <si>
    <r>
      <t xml:space="preserve">Primary Mill Power to 110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m</t>
    </r>
  </si>
  <si>
    <r>
      <t>PP=10*Wi</t>
    </r>
    <r>
      <rPr>
        <sz val="8"/>
        <rFont val="Arial"/>
        <family val="2"/>
      </rPr>
      <t>BM</t>
    </r>
    <r>
      <rPr>
        <sz val="10"/>
        <rFont val="Arial"/>
        <family val="0"/>
      </rPr>
      <t>(1/SQRT(110) -1/SQRT(P</t>
    </r>
    <r>
      <rPr>
        <sz val="8"/>
        <rFont val="Arial"/>
        <family val="2"/>
      </rPr>
      <t>AG)</t>
    </r>
    <r>
      <rPr>
        <sz val="10"/>
        <rFont val="Arial"/>
        <family val="0"/>
      </rPr>
      <t>)</t>
    </r>
  </si>
  <si>
    <t>Pnl</t>
  </si>
  <si>
    <r>
      <t xml:space="preserve"> Power P</t>
    </r>
    <r>
      <rPr>
        <vertAlign val="subscript"/>
        <sz val="10"/>
        <color indexed="8"/>
        <rFont val="Arial"/>
        <family val="2"/>
      </rPr>
      <t>sag</t>
    </r>
    <r>
      <rPr>
        <sz val="10"/>
        <color indexed="8"/>
        <rFont val="Arial"/>
        <family val="2"/>
      </rPr>
      <t xml:space="preserve"> 110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m</t>
    </r>
  </si>
  <si>
    <t>Pgross</t>
  </si>
  <si>
    <r>
      <t>Power at pinion for Primary mill E</t>
    </r>
    <r>
      <rPr>
        <vertAlign val="subscript"/>
        <sz val="10"/>
        <rFont val="Arial"/>
        <family val="2"/>
      </rPr>
      <t>sag</t>
    </r>
    <r>
      <rPr>
        <sz val="10"/>
        <rFont val="Arial"/>
        <family val="0"/>
      </rPr>
      <t xml:space="preserve"> kWh/t</t>
    </r>
  </si>
  <si>
    <t>r</t>
  </si>
  <si>
    <t>Mill Factors</t>
  </si>
  <si>
    <t>Material Factors</t>
  </si>
  <si>
    <t>Kr</t>
  </si>
  <si>
    <t>Kb</t>
  </si>
  <si>
    <t>r*</t>
  </si>
  <si>
    <t>rc</t>
  </si>
  <si>
    <t>Wet (1), Dry (2) Grinding</t>
  </si>
  <si>
    <t>Wet/Dry Grind Ef1</t>
  </si>
  <si>
    <t>ri</t>
  </si>
  <si>
    <t>Closed/Open Circuit Ef2</t>
  </si>
  <si>
    <t>r**</t>
  </si>
  <si>
    <t>Diameter Factor Ef3</t>
  </si>
  <si>
    <t>rm</t>
  </si>
  <si>
    <t>Oversized Feed Ef4</t>
  </si>
  <si>
    <t>rt</t>
  </si>
  <si>
    <t>Fineness of Grind Ef5</t>
  </si>
  <si>
    <t>Rr</t>
  </si>
  <si>
    <t>Rn</t>
  </si>
  <si>
    <t>Ratio of Reduction Rod Milling Ef6</t>
  </si>
  <si>
    <t>Ro</t>
  </si>
  <si>
    <t>S</t>
  </si>
  <si>
    <t>Ratio of Reduction Ball Milling Ef7</t>
  </si>
  <si>
    <t>Rr-R0</t>
  </si>
  <si>
    <t>tc</t>
  </si>
  <si>
    <t>Open Circuit Crushing factor Ef8</t>
  </si>
  <si>
    <t>tf</t>
  </si>
  <si>
    <t>U</t>
  </si>
  <si>
    <t>Effective Total Factors</t>
  </si>
  <si>
    <t>Barratt</t>
  </si>
  <si>
    <t>Normally</t>
  </si>
  <si>
    <t>Vr</t>
  </si>
  <si>
    <t>Barratt Calculation Factor</t>
  </si>
  <si>
    <t>Normally 1.25 - vary with caution</t>
  </si>
  <si>
    <t xml:space="preserve">Power factor: </t>
  </si>
  <si>
    <t>Fsag =</t>
  </si>
  <si>
    <t>Vm</t>
  </si>
  <si>
    <t>Primary Mill Power needed kWh/t</t>
  </si>
  <si>
    <t>Vn</t>
  </si>
  <si>
    <t>Power after allowance for mill and circuit design kWh/t</t>
  </si>
  <si>
    <t>z</t>
  </si>
  <si>
    <t>b</t>
  </si>
  <si>
    <t>Power Reqd for grinding kWh</t>
  </si>
  <si>
    <t>f</t>
  </si>
  <si>
    <t>Fraction of critical speed</t>
  </si>
  <si>
    <r>
      <t>f</t>
    </r>
    <r>
      <rPr>
        <sz val="10"/>
        <rFont val="Arial"/>
        <family val="2"/>
      </rPr>
      <t>c</t>
    </r>
  </si>
  <si>
    <t>qs</t>
  </si>
  <si>
    <t>Advanced Media Testwork</t>
  </si>
  <si>
    <t>qt</t>
  </si>
  <si>
    <t>qto</t>
  </si>
  <si>
    <t>Rec</t>
  </si>
  <si>
    <t>Actual</t>
  </si>
  <si>
    <t>Fully Autogenous Criteria</t>
  </si>
  <si>
    <t>Auto Media Index    &gt;</t>
  </si>
  <si>
    <t>ro</t>
  </si>
  <si>
    <t>+100mm Survivors     &gt;</t>
  </si>
  <si>
    <t>rb</t>
  </si>
  <si>
    <t>%+100mm    &gt;</t>
  </si>
  <si>
    <t>rp</t>
  </si>
  <si>
    <t>%-100+25mm    &lt;</t>
  </si>
  <si>
    <t>%-6mm    &gt;</t>
  </si>
  <si>
    <t>Unconfined Compressive Strength  &gt;</t>
  </si>
  <si>
    <t>Impact Work Index    &gt;</t>
  </si>
  <si>
    <t>Rod Mill: Ball Mill W.Index    &lt;</t>
  </si>
  <si>
    <t>Autogenous &amp; Semi Autogenous Mill Design</t>
  </si>
  <si>
    <t>PAGE 2</t>
  </si>
  <si>
    <t>No of mills</t>
  </si>
  <si>
    <t>DATABASE FOR AM Graph</t>
  </si>
  <si>
    <t>ft</t>
  </si>
  <si>
    <t>Required Power for material</t>
  </si>
  <si>
    <t>Required Aspect Ratio L/D</t>
  </si>
  <si>
    <t>Suggested Diameter between</t>
  </si>
  <si>
    <t>Suggested mill length between</t>
  </si>
  <si>
    <t xml:space="preserve">Length AG </t>
  </si>
  <si>
    <t xml:space="preserve">Length SAG </t>
  </si>
  <si>
    <t>Design</t>
  </si>
  <si>
    <t>Common</t>
  </si>
  <si>
    <t>Mill Diameter  inside shell   metres</t>
  </si>
  <si>
    <t>Mill Effective grinding Length  metres</t>
  </si>
  <si>
    <t>Mill Length + cone</t>
  </si>
  <si>
    <t>Aspect Ratio L/D</t>
  </si>
  <si>
    <t>&lt;&lt;--- Typical 0.3 - 1.0, suggest 0.5</t>
  </si>
  <si>
    <t>Morgardshammar Formula</t>
  </si>
  <si>
    <t>Mill volume</t>
  </si>
  <si>
    <t>Rg</t>
  </si>
  <si>
    <t>Liner thickness  -  metres</t>
  </si>
  <si>
    <t>Mill Diam inside liners</t>
  </si>
  <si>
    <t>Liner Thickness is doubled by programme to calculate effective diameter</t>
  </si>
  <si>
    <t>(Liner: Steel 0.10m, Rubber 0.15m)</t>
  </si>
  <si>
    <t>Critical speed RPM</t>
  </si>
  <si>
    <t>Required % of Critical speed</t>
  </si>
  <si>
    <t>Speed RPM</t>
  </si>
  <si>
    <t>(Typical 60% - 80%)</t>
  </si>
  <si>
    <t>Pulp % solids in mill</t>
  </si>
  <si>
    <t>S.G of Pulp</t>
  </si>
  <si>
    <t>% Ball Charge  (0-12%)</t>
  </si>
  <si>
    <t>Charge Density t/m3</t>
  </si>
  <si>
    <t>% pulp charge in mill</t>
  </si>
  <si>
    <t>Charge Volume m3</t>
  </si>
  <si>
    <t>Pulp charge is the visible slurry level</t>
  </si>
  <si>
    <t>Mill Cone Angle ( 15 or 22deg)</t>
  </si>
  <si>
    <t>Charge slump factor</t>
  </si>
  <si>
    <t>Edge vol - % of single side (80 %)</t>
  </si>
  <si>
    <t>Edge effect volume</t>
  </si>
  <si>
    <t>Cyclone U/F to mill -No(1),Yes (2)</t>
  </si>
  <si>
    <t>Mass of Charge Kgms</t>
  </si>
  <si>
    <t xml:space="preserve">Centre to C of G - Rg factor </t>
  </si>
  <si>
    <t>Effective grinding power - per unit</t>
  </si>
  <si>
    <t>IMM Calculation</t>
  </si>
  <si>
    <t>Mills to be Installed</t>
  </si>
  <si>
    <t>Calc Mills Required</t>
  </si>
  <si>
    <t>Confirm actual mills</t>
  </si>
  <si>
    <t>Total Mill Grinding Power Available</t>
  </si>
  <si>
    <t>Motor Size</t>
  </si>
  <si>
    <t>Total Mill Grinding Power Required</t>
  </si>
  <si>
    <t>(Single sided cone)</t>
  </si>
  <si>
    <t xml:space="preserve">Edge Effects </t>
  </si>
  <si>
    <t>50% worn liners</t>
  </si>
  <si>
    <t>Power required at the pinion</t>
  </si>
  <si>
    <t>Power (Manufacturers Average)</t>
  </si>
  <si>
    <t>Calculates the Mill end cone section volumes</t>
  </si>
  <si>
    <t>Data from AM sheet</t>
  </si>
  <si>
    <t>Diameter m</t>
  </si>
  <si>
    <t>% Vol filled</t>
  </si>
  <si>
    <t xml:space="preserve">Trunnion diameter assumed </t>
  </si>
  <si>
    <t>Angle of cone degrees</t>
  </si>
  <si>
    <t>to be 1/4 of D</t>
  </si>
  <si>
    <t>Height from centre m</t>
  </si>
  <si>
    <t>Vol of mill cone m3</t>
  </si>
  <si>
    <t>Vol filled with charge m3</t>
  </si>
  <si>
    <r>
      <t xml:space="preserve">Final Planned Grind Size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</si>
  <si>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Power factor: Fsag=</t>
  </si>
  <si>
    <t>Bond Power to final grind</t>
  </si>
  <si>
    <t>Liner Thickness - metres</t>
  </si>
  <si>
    <t>Pulp charge is the visible pulp level</t>
  </si>
  <si>
    <t>DATABASE FOR BM Graph</t>
  </si>
  <si>
    <t>BALLMILL</t>
  </si>
  <si>
    <t>Design Power Draw</t>
  </si>
  <si>
    <t>Actual Dimensions</t>
  </si>
  <si>
    <t>Mill Examples</t>
  </si>
  <si>
    <t>Aspect Ratio Line Data</t>
  </si>
  <si>
    <t>Length Grate</t>
  </si>
  <si>
    <t>Length O/F</t>
  </si>
  <si>
    <t>Ball Mill following AG/SAG Mill</t>
  </si>
  <si>
    <t>Page 3</t>
  </si>
  <si>
    <t>AG/SAG/BM Transfer</t>
  </si>
  <si>
    <t>% of product in feed</t>
  </si>
  <si>
    <t>Svedala allow for a reduction factor of 80%</t>
  </si>
  <si>
    <t>Reduced factor</t>
  </si>
  <si>
    <t>if the % product in feed is greater than 40%</t>
  </si>
  <si>
    <t>Nominal New Feed</t>
  </si>
  <si>
    <t xml:space="preserve">The reduction factor increases to 100% at 35% </t>
  </si>
  <si>
    <t>Nominal Feed Sizing</t>
  </si>
  <si>
    <t>Otherwise they make no allowance</t>
  </si>
  <si>
    <t>Abrasion Index</t>
  </si>
  <si>
    <t>Classified Feed Sizing</t>
  </si>
  <si>
    <t>Circuit design</t>
  </si>
  <si>
    <t xml:space="preserve"> Factors</t>
  </si>
  <si>
    <t>Grinding - Wet (1),      Dry (2)</t>
  </si>
  <si>
    <t>Grind Circuit Open (1), Closed (2)</t>
  </si>
  <si>
    <t>Open/Closed Circuit Ef2</t>
  </si>
  <si>
    <t>Grate(1), Overflow (2)</t>
  </si>
  <si>
    <t>Rr-Ro</t>
  </si>
  <si>
    <t>Ratio of Redction Rod Milling Ef6</t>
  </si>
  <si>
    <t>Factor</t>
  </si>
  <si>
    <t>Power</t>
  </si>
  <si>
    <t xml:space="preserve"> Base power required  kWh/t</t>
  </si>
  <si>
    <t xml:space="preserve">Actual power after inefficiencies kWh/t </t>
  </si>
  <si>
    <t>kWh/t of circuit feed</t>
  </si>
  <si>
    <t>Total Power - SAG Power</t>
  </si>
  <si>
    <t>** where BM follows SAG</t>
  </si>
  <si>
    <t>Ball Mill Design</t>
  </si>
  <si>
    <t>Mill Diameter m inside shell</t>
  </si>
  <si>
    <t>Mill Length m - EG. Length</t>
  </si>
  <si>
    <t>&lt;&lt;&lt; -----</t>
  </si>
  <si>
    <t>Liner thickness  - m</t>
  </si>
  <si>
    <t>Typical Aspect Ratio 1.0 - 1.5 initially</t>
  </si>
  <si>
    <t>(Liner: Steel 0.08m, Rubber 0.10m)</t>
  </si>
  <si>
    <t>(Typical 70% - 90%</t>
  </si>
  <si>
    <t>% Pulp Charge</t>
  </si>
  <si>
    <t xml:space="preserve">% Ball Charge </t>
  </si>
  <si>
    <t>Top ball size mm</t>
  </si>
  <si>
    <t>Calculated Ball Size (mm)</t>
  </si>
  <si>
    <t>K Factor</t>
  </si>
  <si>
    <t>Ball charge</t>
  </si>
  <si>
    <t>Slippage</t>
  </si>
  <si>
    <t>Density of ball charge t/m3</t>
  </si>
  <si>
    <t>kg/kWh</t>
  </si>
  <si>
    <t>kg/t</t>
  </si>
  <si>
    <t>Mass of Charge t</t>
  </si>
  <si>
    <t>Ball wear Kg/kWhr</t>
  </si>
  <si>
    <t>Allowance for grate/overflow</t>
  </si>
  <si>
    <t>Liner wear Kg/kWhr</t>
  </si>
  <si>
    <t>Power Draw kWh/t of balls</t>
  </si>
  <si>
    <t>Morg'dsh'r</t>
  </si>
  <si>
    <t>Motor</t>
  </si>
  <si>
    <t>N/berg</t>
  </si>
  <si>
    <t>Total Grinding Power Available</t>
  </si>
  <si>
    <t>Grinding Power Required per mill</t>
  </si>
  <si>
    <t>Allowance for 50% worn liners</t>
  </si>
  <si>
    <t>Manu</t>
  </si>
  <si>
    <t>Speed</t>
  </si>
  <si>
    <t>kWh</t>
  </si>
  <si>
    <t>% Critical</t>
  </si>
  <si>
    <t>Price - $</t>
  </si>
  <si>
    <t>Liner - $</t>
  </si>
  <si>
    <t>Motor - $</t>
  </si>
  <si>
    <t>kWh@75%</t>
  </si>
  <si>
    <t>kWh/m</t>
  </si>
  <si>
    <t>Calc</t>
  </si>
  <si>
    <t>WRT Allis</t>
  </si>
  <si>
    <t>WRT Calc</t>
  </si>
  <si>
    <t>Ruwolt/ANI</t>
  </si>
  <si>
    <t>Svedala</t>
  </si>
  <si>
    <t>Fuller/Traylor</t>
  </si>
  <si>
    <t>vsd</t>
  </si>
  <si>
    <t>Nordberg</t>
  </si>
  <si>
    <t>ANI</t>
  </si>
  <si>
    <t>Mt Keith</t>
  </si>
  <si>
    <t>Leinster</t>
  </si>
  <si>
    <t>Kanowna Belle</t>
  </si>
  <si>
    <t>Australia</t>
  </si>
  <si>
    <t>Indonesia</t>
  </si>
  <si>
    <t>Chile</t>
  </si>
  <si>
    <t>Argentina</t>
  </si>
  <si>
    <t xml:space="preserve">Chile </t>
  </si>
  <si>
    <t>Utah</t>
  </si>
  <si>
    <t>Minnesota</t>
  </si>
  <si>
    <t>Russian Far East</t>
  </si>
  <si>
    <t xml:space="preserve">Rod Mill </t>
  </si>
  <si>
    <t>Crushing - Open (1),  Closed (2)</t>
  </si>
  <si>
    <t>Rod Mill only (1), RM/BM (2)</t>
  </si>
  <si>
    <t>Grinding - Wet (1),       Dry (2)</t>
  </si>
  <si>
    <t>Grind Circuit Open (1),  Closed (2)</t>
  </si>
  <si>
    <t>(0.15m allowed for rod length</t>
  </si>
  <si>
    <t>less than mill length; G22)</t>
  </si>
  <si>
    <t>Rod Mill Design</t>
  </si>
  <si>
    <t>Lookup Table for Rod Density (F43)</t>
  </si>
  <si>
    <t>Density</t>
  </si>
  <si>
    <t>&lt;&lt;&lt;----</t>
  </si>
  <si>
    <t>Aspect Ratio suggest 1.5 initially</t>
  </si>
  <si>
    <t>(Steel Liner 0.08m, Rubber Not Recommended)</t>
  </si>
  <si>
    <t>DATABASE FOR RM Graph</t>
  </si>
  <si>
    <t>Length</t>
  </si>
  <si>
    <t xml:space="preserve">% Rod Charge </t>
  </si>
  <si>
    <t>Density of Rod charge t/m3</t>
  </si>
  <si>
    <t>Rod wear Kg/kWhr</t>
  </si>
  <si>
    <t>Power Draw kWh/t of rods</t>
  </si>
  <si>
    <t>Recommended Top Rod Size mm</t>
  </si>
  <si>
    <t>Morgardshammar</t>
  </si>
  <si>
    <t>Calculated Mills Required</t>
  </si>
  <si>
    <t>Total Grinding Power Avail</t>
  </si>
  <si>
    <t xml:space="preserve">The reduction factor increases to 100% for 35% </t>
  </si>
  <si>
    <t>M Hammar</t>
  </si>
  <si>
    <t>Fimiston</t>
  </si>
  <si>
    <t>Granny Smith</t>
  </si>
  <si>
    <t>Fuller</t>
  </si>
  <si>
    <t>Century Zinc</t>
  </si>
  <si>
    <t>In US$</t>
  </si>
  <si>
    <t>Copper</t>
  </si>
  <si>
    <t>Copper/Gold</t>
  </si>
  <si>
    <t>Platinum</t>
  </si>
  <si>
    <t>South Africa</t>
  </si>
  <si>
    <t>Gold/Copper</t>
  </si>
  <si>
    <t>B. C.</t>
  </si>
  <si>
    <t>Nickel</t>
  </si>
  <si>
    <t>Canada</t>
  </si>
  <si>
    <t>Copper conc.</t>
  </si>
  <si>
    <t>Iran</t>
  </si>
  <si>
    <t>Gold</t>
  </si>
  <si>
    <t>Peru</t>
  </si>
  <si>
    <t>Alaska</t>
  </si>
  <si>
    <t>Nevada</t>
  </si>
  <si>
    <t>Lead/Zinc</t>
  </si>
  <si>
    <t>Quebec</t>
  </si>
  <si>
    <t>Iron</t>
  </si>
  <si>
    <t>China</t>
  </si>
  <si>
    <t xml:space="preserve">Copper </t>
  </si>
  <si>
    <t>Arizona</t>
  </si>
  <si>
    <t>New Guinea</t>
  </si>
  <si>
    <t>81/83</t>
  </si>
  <si>
    <t>New Mexico</t>
  </si>
  <si>
    <t>Iron Ore</t>
  </si>
  <si>
    <t>Mexico</t>
  </si>
  <si>
    <t>England</t>
  </si>
  <si>
    <t>Cement Clinker</t>
  </si>
  <si>
    <t>Jordan</t>
  </si>
  <si>
    <t>Slag</t>
  </si>
  <si>
    <t>New Foundland</t>
  </si>
  <si>
    <t>17 x 34 B</t>
  </si>
  <si>
    <t>Brazil</t>
  </si>
  <si>
    <t>Vitoria/ES</t>
  </si>
  <si>
    <t>17 x 21.3 P</t>
  </si>
  <si>
    <t>Sweden</t>
  </si>
  <si>
    <t>17 x 34</t>
  </si>
  <si>
    <t>17 x 32 B</t>
  </si>
  <si>
    <t>K</t>
  </si>
  <si>
    <t>Limestone</t>
  </si>
  <si>
    <t>Kentucky</t>
  </si>
  <si>
    <t>17 x 21 P</t>
  </si>
  <si>
    <t>17 x 50 B</t>
  </si>
  <si>
    <t>A</t>
  </si>
  <si>
    <t>Korea</t>
  </si>
  <si>
    <t>Japan</t>
  </si>
  <si>
    <t>17 x 37.5 B</t>
  </si>
  <si>
    <t>Phosphate</t>
  </si>
  <si>
    <t>Louisiana</t>
  </si>
  <si>
    <t>Sub-total</t>
  </si>
  <si>
    <t>16.5 x 22 B</t>
  </si>
  <si>
    <t>16.5 x 35 B</t>
  </si>
  <si>
    <t>B. Columbia</t>
  </si>
  <si>
    <t>16.5 x 30 B</t>
  </si>
  <si>
    <t>16.5 x 27 B</t>
  </si>
  <si>
    <t>M</t>
  </si>
  <si>
    <t>16.5 x 24 B</t>
  </si>
  <si>
    <t>Cu Zn Ore</t>
  </si>
  <si>
    <t>Guyana</t>
  </si>
  <si>
    <t>16.5 x 29 B</t>
  </si>
  <si>
    <t>H</t>
  </si>
  <si>
    <t>South Carolina</t>
  </si>
  <si>
    <t>16.5 x 25 B</t>
  </si>
  <si>
    <t>B.C.</t>
  </si>
  <si>
    <t>Montana</t>
  </si>
  <si>
    <t>16.5 x 28 B</t>
  </si>
  <si>
    <t>Ontario</t>
  </si>
  <si>
    <t>Silver</t>
  </si>
  <si>
    <t xml:space="preserve">B.C. </t>
  </si>
  <si>
    <t>16.5 x 25.5 B</t>
  </si>
  <si>
    <t>Cu/Zn</t>
  </si>
  <si>
    <t>16.5 x 20 B</t>
  </si>
  <si>
    <t>Idaho</t>
  </si>
  <si>
    <t>16.5 x 26 B</t>
  </si>
  <si>
    <t>Moly</t>
  </si>
  <si>
    <t>16.5 x 21 B</t>
  </si>
  <si>
    <t>16.5 x 19 B</t>
  </si>
  <si>
    <t>Yugoslavia</t>
  </si>
  <si>
    <t>79/81</t>
  </si>
  <si>
    <t>Philippines</t>
  </si>
  <si>
    <t>78/81</t>
  </si>
  <si>
    <t>Copper Ore</t>
  </si>
  <si>
    <t>16.5 x 32 B</t>
  </si>
  <si>
    <t>16.5 x 25</t>
  </si>
  <si>
    <t>Jaguariai/BA</t>
  </si>
  <si>
    <t>16.5 x 36 B</t>
  </si>
  <si>
    <t xml:space="preserve">Iron Ore </t>
  </si>
  <si>
    <t>B.C., Canada</t>
  </si>
  <si>
    <t>16.5 x 23 B</t>
  </si>
  <si>
    <t>16.5 x 17 B</t>
  </si>
  <si>
    <t>Florida</t>
  </si>
  <si>
    <t>16.5 x 32 P</t>
  </si>
  <si>
    <t>16.5 x 18 B</t>
  </si>
  <si>
    <t>16.5 x 24 P</t>
  </si>
  <si>
    <t>Michigan</t>
  </si>
  <si>
    <t>16 x 28 B</t>
  </si>
  <si>
    <t>16 x 28.5 B</t>
  </si>
  <si>
    <t>16 x 21 B</t>
  </si>
  <si>
    <t>85/88</t>
  </si>
  <si>
    <t>16 x 22 B</t>
  </si>
  <si>
    <t xml:space="preserve">16 x 20 B </t>
  </si>
  <si>
    <t>16 x 20 B</t>
  </si>
  <si>
    <t>16 x 50 B</t>
  </si>
  <si>
    <t>Raw Cement, Dry</t>
  </si>
  <si>
    <t>Catalao/GO</t>
  </si>
  <si>
    <t>Zinc</t>
  </si>
  <si>
    <t>Iceland</t>
  </si>
  <si>
    <t>Ireland</t>
  </si>
  <si>
    <t>16 x 23 B</t>
  </si>
  <si>
    <t>16 x 25 B</t>
  </si>
  <si>
    <t>Malaysia</t>
  </si>
  <si>
    <t xml:space="preserve">Pebble Mill </t>
  </si>
  <si>
    <r>
      <t>F</t>
    </r>
    <r>
      <rPr>
        <vertAlign val="subscript"/>
        <sz val="10"/>
        <rFont val="Arial"/>
        <family val="2"/>
      </rPr>
      <t xml:space="preserve">80  </t>
    </r>
    <r>
      <rPr>
        <sz val="10"/>
        <rFont val="Arial"/>
        <family val="2"/>
      </rPr>
      <t xml:space="preserve"> microns</t>
    </r>
  </si>
  <si>
    <r>
      <t>P</t>
    </r>
    <r>
      <rPr>
        <vertAlign val="subscript"/>
        <sz val="10"/>
        <rFont val="Arial"/>
        <family val="2"/>
      </rPr>
      <t xml:space="preserve">80  </t>
    </r>
    <r>
      <rPr>
        <sz val="10"/>
        <rFont val="Arial"/>
        <family val="2"/>
      </rPr>
      <t xml:space="preserve"> microns</t>
    </r>
  </si>
  <si>
    <t>Pebble Mill Design</t>
  </si>
  <si>
    <t>Liner allowance  - m</t>
  </si>
  <si>
    <t>Typical Aspect Ratio 1.0-1.5 initially</t>
  </si>
  <si>
    <t>(Steel 0.08m, Rubber 0.10m)</t>
  </si>
  <si>
    <t>(Typical 70% - 80%</t>
  </si>
  <si>
    <t>DATABASE FOR Pebble Mill Graph</t>
  </si>
  <si>
    <t>Density of pebble charge t/m3</t>
  </si>
  <si>
    <t>Power Draw kWh/t of pebbles</t>
  </si>
  <si>
    <t>B</t>
  </si>
  <si>
    <t>Average Manufacturers Power</t>
  </si>
  <si>
    <t>P=LAD^B</t>
  </si>
  <si>
    <t>Tower Mill</t>
  </si>
  <si>
    <t>US680,000</t>
  </si>
  <si>
    <t>Open (1), Closed (2) Circuit</t>
  </si>
  <si>
    <t>Min Motor size (@ 97%)</t>
  </si>
  <si>
    <t>P4</t>
  </si>
  <si>
    <t>Mill motor efficiencies reduced to 97%</t>
  </si>
  <si>
    <t>P4a</t>
  </si>
  <si>
    <t>Changed mill diameter factor to 0.95 rather than 0.914 - few manufacturers use this one</t>
  </si>
  <si>
    <t>P5</t>
  </si>
  <si>
    <t>Changed mill diameter factor to 1.0 rather than 0.95 - few manufacturers use this one</t>
  </si>
  <si>
    <t>This factor at large diameters  is not used by manufacturers</t>
  </si>
  <si>
    <t>This factor at large diameters is not used by manufacturers</t>
  </si>
  <si>
    <t>Min Value</t>
  </si>
  <si>
    <t>Attrition Mill Power</t>
  </si>
  <si>
    <t>Isamill</t>
  </si>
  <si>
    <t>MW</t>
  </si>
  <si>
    <t>Mill Type</t>
  </si>
  <si>
    <t>Selection</t>
  </si>
  <si>
    <t>Max Size</t>
  </si>
  <si>
    <t>Power/mill required at the pinion</t>
  </si>
  <si>
    <t>Min Motor size ( 97% Efficiency)</t>
  </si>
  <si>
    <t>P6</t>
  </si>
  <si>
    <t>Adjusted mill efficiencies to 97% on all pages</t>
  </si>
  <si>
    <t>Attrition Mill Factor</t>
  </si>
  <si>
    <t xml:space="preserve">Conventional Power </t>
  </si>
  <si>
    <t>Feed</t>
  </si>
  <si>
    <t>Feed Size</t>
  </si>
  <si>
    <t>Product</t>
  </si>
  <si>
    <t>Machines</t>
  </si>
  <si>
    <t>VTM 1500</t>
  </si>
  <si>
    <t>VTM 1000</t>
  </si>
  <si>
    <t>VTM1500</t>
  </si>
  <si>
    <t>VTM 1200</t>
  </si>
  <si>
    <t>HPGR</t>
  </si>
  <si>
    <t>Power factor: F=1.1</t>
  </si>
  <si>
    <t>Primary Power needed kWh/t</t>
  </si>
  <si>
    <t>Grinding Power Required per motor</t>
  </si>
  <si>
    <t>Power for the Machine</t>
  </si>
  <si>
    <t>Width</t>
  </si>
  <si>
    <t>Volume</t>
  </si>
  <si>
    <t>Wt</t>
  </si>
  <si>
    <t>Concrete</t>
  </si>
  <si>
    <t>Platework</t>
  </si>
  <si>
    <t>Mass</t>
  </si>
  <si>
    <t>m</t>
  </si>
  <si>
    <t>Charge</t>
  </si>
  <si>
    <t>AG/SAG</t>
  </si>
  <si>
    <t>Ball</t>
  </si>
  <si>
    <t>Check</t>
  </si>
  <si>
    <t>Vertimill VTM3000</t>
  </si>
  <si>
    <t>Vertimill VTM1500</t>
  </si>
  <si>
    <t>Two Motors of this size required per machine</t>
  </si>
  <si>
    <t>Power Grinding kWh/t</t>
  </si>
  <si>
    <t>Approximate power required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</si>
</sst>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&quot;$&quot;#,##0"/>
    <numFmt numFmtId="182" formatCode="0.0%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\ &quot;m3&quot;"/>
    <numFmt numFmtId="189" formatCode="0.00\ &quot;t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0"/>
    </font>
    <font>
      <vertAlign val="subscript"/>
      <sz val="10"/>
      <name val="Arial"/>
      <family val="2"/>
    </font>
    <font>
      <b/>
      <u val="single"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6"/>
      <color indexed="16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vertAlign val="subscript"/>
      <sz val="10"/>
      <name val="Symbol"/>
      <family val="1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7"/>
      <name val="Tahoma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1" fontId="14" fillId="0" borderId="3" xfId="0" applyNumberFormat="1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right"/>
    </xf>
    <xf numFmtId="0" fontId="14" fillId="0" borderId="3" xfId="0" applyFont="1" applyFill="1" applyBorder="1" applyAlignment="1" applyProtection="1">
      <alignment horizontal="center"/>
      <protection locked="0"/>
    </xf>
    <xf numFmtId="1" fontId="15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 applyProtection="1">
      <alignment horizontal="centerContinuous"/>
      <protection locked="0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Continuous"/>
    </xf>
    <xf numFmtId="0" fontId="10" fillId="0" borderId="10" xfId="0" applyFont="1" applyFill="1" applyBorder="1" applyAlignment="1" applyProtection="1">
      <alignment horizontal="centerContinuous"/>
      <protection locked="0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1" fontId="10" fillId="0" borderId="5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72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2" fontId="10" fillId="0" borderId="5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centerContinuous"/>
    </xf>
    <xf numFmtId="1" fontId="17" fillId="0" borderId="5" xfId="0" applyNumberFormat="1" applyFont="1" applyFill="1" applyBorder="1" applyAlignment="1" applyProtection="1">
      <alignment horizontal="centerContinuous"/>
      <protection locked="0"/>
    </xf>
    <xf numFmtId="1" fontId="17" fillId="0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right"/>
    </xf>
    <xf numFmtId="1" fontId="17" fillId="0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" fontId="14" fillId="0" borderId="25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6" fillId="0" borderId="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5" fillId="0" borderId="4" xfId="0" applyFont="1" applyBorder="1" applyAlignment="1">
      <alignment horizontal="center" wrapText="1"/>
    </xf>
    <xf numFmtId="0" fontId="8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" fontId="0" fillId="0" borderId="5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0" fillId="0" borderId="5" xfId="0" applyFont="1" applyFill="1" applyBorder="1" applyAlignment="1" applyProtection="1">
      <alignment horizontal="center"/>
      <protection/>
    </xf>
    <xf numFmtId="2" fontId="10" fillId="0" borderId="5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0" fillId="0" borderId="5" xfId="0" applyNumberFormat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0" fontId="15" fillId="0" borderId="3" xfId="0" applyFont="1" applyBorder="1" applyAlignment="1" applyProtection="1">
      <alignment horizontal="right"/>
      <protection/>
    </xf>
    <xf numFmtId="1" fontId="15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2" fontId="10" fillId="0" borderId="5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center"/>
      <protection/>
    </xf>
    <xf numFmtId="2" fontId="11" fillId="0" borderId="5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2" fontId="8" fillId="0" borderId="29" xfId="0" applyNumberFormat="1" applyFont="1" applyBorder="1" applyAlignment="1" applyProtection="1">
      <alignment horizontal="center"/>
      <protection/>
    </xf>
    <xf numFmtId="2" fontId="8" fillId="0" borderId="5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right"/>
      <protection/>
    </xf>
    <xf numFmtId="2" fontId="17" fillId="0" borderId="0" xfId="0" applyNumberFormat="1" applyFont="1" applyBorder="1" applyAlignment="1" applyProtection="1">
      <alignment horizontal="center"/>
      <protection/>
    </xf>
    <xf numFmtId="2" fontId="17" fillId="0" borderId="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right"/>
      <protection/>
    </xf>
    <xf numFmtId="2" fontId="0" fillId="0" borderId="5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 quotePrefix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" fontId="20" fillId="0" borderId="5" xfId="0" applyNumberFormat="1" applyFont="1" applyFill="1" applyBorder="1" applyAlignment="1" applyProtection="1">
      <alignment horizontal="center"/>
      <protection/>
    </xf>
    <xf numFmtId="1" fontId="17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/>
    </xf>
    <xf numFmtId="1" fontId="16" fillId="0" borderId="5" xfId="0" applyNumberFormat="1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Continuous"/>
      <protection/>
    </xf>
    <xf numFmtId="0" fontId="4" fillId="0" borderId="27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172" fontId="0" fillId="0" borderId="5" xfId="0" applyNumberForma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right"/>
      <protection/>
    </xf>
    <xf numFmtId="1" fontId="5" fillId="0" borderId="5" xfId="0" applyNumberFormat="1" applyFont="1" applyBorder="1" applyAlignment="1" applyProtection="1">
      <alignment horizontal="center"/>
      <protection/>
    </xf>
    <xf numFmtId="2" fontId="20" fillId="0" borderId="5" xfId="0" applyNumberFormat="1" applyFont="1" applyFill="1" applyBorder="1" applyAlignment="1" applyProtection="1">
      <alignment horizontal="center"/>
      <protection/>
    </xf>
    <xf numFmtId="1" fontId="1" fillId="0" borderId="4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center"/>
      <protection/>
    </xf>
    <xf numFmtId="1" fontId="14" fillId="0" borderId="25" xfId="0" applyNumberFormat="1" applyFont="1" applyFill="1" applyBorder="1" applyAlignment="1" applyProtection="1">
      <alignment horizontal="centerContinuous"/>
      <protection/>
    </xf>
    <xf numFmtId="0" fontId="13" fillId="0" borderId="25" xfId="0" applyFont="1" applyBorder="1" applyAlignment="1" applyProtection="1">
      <alignment horizontal="centerContinuous"/>
      <protection/>
    </xf>
    <xf numFmtId="0" fontId="15" fillId="0" borderId="25" xfId="0" applyFont="1" applyBorder="1" applyAlignment="1" applyProtection="1">
      <alignment horizontal="centerContinuous"/>
      <protection/>
    </xf>
    <xf numFmtId="1" fontId="15" fillId="0" borderId="31" xfId="0" applyNumberFormat="1" applyFont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right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" fontId="23" fillId="0" borderId="5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" fontId="22" fillId="0" borderId="4" xfId="0" applyNumberFormat="1" applyFont="1" applyBorder="1" applyAlignment="1" applyProtection="1">
      <alignment horizontal="right"/>
      <protection/>
    </xf>
    <xf numFmtId="0" fontId="13" fillId="0" borderId="2" xfId="0" applyFont="1" applyBorder="1" applyAlignment="1">
      <alignment/>
    </xf>
    <xf numFmtId="0" fontId="0" fillId="0" borderId="33" xfId="0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/>
    </xf>
    <xf numFmtId="0" fontId="22" fillId="0" borderId="8" xfId="0" applyFont="1" applyFill="1" applyBorder="1" applyAlignment="1">
      <alignment/>
    </xf>
    <xf numFmtId="0" fontId="22" fillId="0" borderId="8" xfId="0" applyFont="1" applyBorder="1" applyAlignment="1">
      <alignment/>
    </xf>
    <xf numFmtId="1" fontId="22" fillId="0" borderId="8" xfId="0" applyNumberFormat="1" applyFont="1" applyBorder="1" applyAlignment="1">
      <alignment horizontal="right"/>
    </xf>
    <xf numFmtId="1" fontId="23" fillId="0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1" fontId="14" fillId="0" borderId="5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5" xfId="0" applyNumberFormat="1" applyFont="1" applyBorder="1" applyAlignment="1" applyProtection="1">
      <alignment horizontal="center"/>
      <protection/>
    </xf>
    <xf numFmtId="2" fontId="17" fillId="0" borderId="5" xfId="0" applyNumberFormat="1" applyFont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/>
      <protection/>
    </xf>
    <xf numFmtId="0" fontId="15" fillId="0" borderId="2" xfId="0" applyFont="1" applyBorder="1" applyAlignment="1" applyProtection="1">
      <alignment horizontal="right"/>
      <protection/>
    </xf>
    <xf numFmtId="1" fontId="16" fillId="0" borderId="34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0" fillId="0" borderId="0" xfId="0" applyNumberFormat="1" applyFont="1" applyBorder="1" applyAlignment="1" applyProtection="1">
      <alignment horizontal="center"/>
      <protection/>
    </xf>
    <xf numFmtId="174" fontId="0" fillId="0" borderId="0" xfId="0" applyNumberFormat="1" applyFont="1" applyAlignment="1">
      <alignment horizontal="center"/>
    </xf>
    <xf numFmtId="9" fontId="0" fillId="0" borderId="0" xfId="21" applyAlignment="1">
      <alignment horizontal="center"/>
    </xf>
    <xf numFmtId="9" fontId="0" fillId="0" borderId="0" xfId="21" applyFont="1" applyAlignment="1">
      <alignment horizontal="center"/>
    </xf>
    <xf numFmtId="1" fontId="0" fillId="0" borderId="0" xfId="15" applyNumberFormat="1" applyAlignment="1">
      <alignment horizontal="center"/>
    </xf>
    <xf numFmtId="9" fontId="0" fillId="0" borderId="0" xfId="21" applyAlignment="1">
      <alignment/>
    </xf>
    <xf numFmtId="9" fontId="0" fillId="0" borderId="0" xfId="0" applyNumberFormat="1" applyAlignment="1">
      <alignment horizontal="center"/>
    </xf>
    <xf numFmtId="10" fontId="0" fillId="0" borderId="0" xfId="21" applyNumberFormat="1" applyAlignment="1">
      <alignment/>
    </xf>
    <xf numFmtId="2" fontId="15" fillId="0" borderId="0" xfId="0" applyNumberFormat="1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 quotePrefix="1">
      <alignment horizontal="left" vertical="center"/>
      <protection/>
    </xf>
    <xf numFmtId="0" fontId="10" fillId="0" borderId="17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40" xfId="0" applyFont="1" applyFill="1" applyBorder="1" applyAlignment="1">
      <alignment horizontal="centerContinuous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centerContinuous"/>
    </xf>
    <xf numFmtId="2" fontId="1" fillId="0" borderId="45" xfId="0" applyNumberFormat="1" applyFont="1" applyBorder="1" applyAlignment="1">
      <alignment horizontal="centerContinuous"/>
    </xf>
    <xf numFmtId="1" fontId="1" fillId="0" borderId="25" xfId="0" applyNumberFormat="1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2" fontId="0" fillId="0" borderId="18" xfId="0" applyNumberFormat="1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2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2" fontId="28" fillId="0" borderId="0" xfId="0" applyNumberFormat="1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43" xfId="0" applyFont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/>
      <protection locked="0"/>
    </xf>
    <xf numFmtId="0" fontId="25" fillId="2" borderId="2" xfId="0" applyFont="1" applyFill="1" applyBorder="1" applyAlignment="1" applyProtection="1">
      <alignment/>
      <protection locked="0"/>
    </xf>
    <xf numFmtId="2" fontId="28" fillId="0" borderId="29" xfId="0" applyNumberFormat="1" applyFont="1" applyBorder="1" applyAlignment="1" applyProtection="1">
      <alignment horizontal="center"/>
      <protection/>
    </xf>
    <xf numFmtId="2" fontId="10" fillId="0" borderId="47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10" fillId="0" borderId="43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>
      <alignment horizontal="center"/>
    </xf>
    <xf numFmtId="1" fontId="1" fillId="0" borderId="4" xfId="0" applyNumberFormat="1" applyFon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9" xfId="0" applyFill="1" applyBorder="1" applyAlignment="1">
      <alignment/>
    </xf>
    <xf numFmtId="2" fontId="1" fillId="0" borderId="47" xfId="0" applyNumberFormat="1" applyFont="1" applyBorder="1" applyAlignment="1">
      <alignment horizontal="centerContinuous"/>
    </xf>
    <xf numFmtId="1" fontId="1" fillId="0" borderId="27" xfId="0" applyNumberFormat="1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2" fontId="0" fillId="0" borderId="1" xfId="0" applyNumberFormat="1" applyFont="1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2" borderId="29" xfId="0" applyFont="1" applyFill="1" applyBorder="1" applyAlignment="1">
      <alignment/>
    </xf>
    <xf numFmtId="0" fontId="0" fillId="0" borderId="47" xfId="0" applyBorder="1" applyAlignment="1">
      <alignment horizontal="center"/>
    </xf>
    <xf numFmtId="2" fontId="0" fillId="0" borderId="41" xfId="0" applyNumberFormat="1" applyBorder="1" applyAlignment="1">
      <alignment/>
    </xf>
    <xf numFmtId="0" fontId="0" fillId="0" borderId="1" xfId="0" applyBorder="1" applyAlignment="1">
      <alignment horizontal="center"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2" fontId="0" fillId="0" borderId="44" xfId="0" applyNumberFormat="1" applyBorder="1" applyAlignment="1">
      <alignment/>
    </xf>
    <xf numFmtId="0" fontId="10" fillId="0" borderId="47" xfId="0" applyFont="1" applyBorder="1" applyAlignment="1" applyProtection="1" quotePrefix="1">
      <alignment horizontal="left"/>
      <protection locked="0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1" fontId="17" fillId="0" borderId="42" xfId="0" applyNumberFormat="1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>
      <alignment/>
    </xf>
    <xf numFmtId="1" fontId="17" fillId="0" borderId="44" xfId="0" applyNumberFormat="1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 wrapText="1"/>
    </xf>
    <xf numFmtId="2" fontId="25" fillId="0" borderId="0" xfId="0" applyNumberFormat="1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/>
    </xf>
    <xf numFmtId="2" fontId="25" fillId="0" borderId="29" xfId="0" applyNumberFormat="1" applyFont="1" applyBorder="1" applyAlignment="1" applyProtection="1">
      <alignment horizontal="center"/>
      <protection/>
    </xf>
    <xf numFmtId="2" fontId="25" fillId="0" borderId="48" xfId="0" applyNumberFormat="1" applyFon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 locked="0"/>
    </xf>
    <xf numFmtId="174" fontId="0" fillId="0" borderId="5" xfId="0" applyNumberForma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Continuous"/>
    </xf>
    <xf numFmtId="0" fontId="1" fillId="0" borderId="50" xfId="0" applyFont="1" applyBorder="1" applyAlignment="1">
      <alignment horizontal="centerContinuous"/>
    </xf>
    <xf numFmtId="0" fontId="1" fillId="0" borderId="51" xfId="0" applyFont="1" applyBorder="1" applyAlignment="1">
      <alignment horizontal="centerContinuous"/>
    </xf>
    <xf numFmtId="0" fontId="25" fillId="2" borderId="52" xfId="0" applyFont="1" applyFill="1" applyBorder="1" applyAlignment="1" applyProtection="1">
      <alignment horizontal="center"/>
      <protection locked="0"/>
    </xf>
    <xf numFmtId="172" fontId="0" fillId="0" borderId="53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left"/>
    </xf>
    <xf numFmtId="1" fontId="10" fillId="0" borderId="47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1" fontId="0" fillId="0" borderId="43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/>
    </xf>
    <xf numFmtId="1" fontId="0" fillId="0" borderId="5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4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8" xfId="0" applyFont="1" applyBorder="1" applyAlignment="1">
      <alignment/>
    </xf>
    <xf numFmtId="1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5" fontId="26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24" fillId="0" borderId="18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2" fontId="25" fillId="0" borderId="0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2" fontId="0" fillId="3" borderId="0" xfId="0" applyNumberFormat="1" applyFill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54" xfId="0" applyBorder="1" applyAlignment="1">
      <alignment/>
    </xf>
    <xf numFmtId="0" fontId="10" fillId="0" borderId="0" xfId="0" applyFont="1" applyAlignment="1">
      <alignment horizontal="center"/>
    </xf>
    <xf numFmtId="2" fontId="0" fillId="0" borderId="5" xfId="0" applyNumberFormat="1" applyFill="1" applyBorder="1" applyAlignment="1" applyProtection="1">
      <alignment horizontal="center"/>
      <protection/>
    </xf>
    <xf numFmtId="2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" fontId="0" fillId="0" borderId="0" xfId="0" applyNumberFormat="1" applyAlignment="1">
      <alignment horizontal="center"/>
    </xf>
    <xf numFmtId="0" fontId="0" fillId="0" borderId="41" xfId="0" applyBorder="1" applyAlignment="1">
      <alignment horizontal="centerContinuous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25" fillId="0" borderId="0" xfId="0" applyNumberFormat="1" applyFont="1" applyFill="1" applyBorder="1" applyAlignment="1" applyProtection="1">
      <alignment horizontal="center"/>
      <protection locked="0"/>
    </xf>
    <xf numFmtId="1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1" fontId="10" fillId="0" borderId="49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4" xfId="0" applyFont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1" xfId="0" applyBorder="1" applyAlignment="1">
      <alignment horizontal="right"/>
    </xf>
    <xf numFmtId="1" fontId="0" fillId="0" borderId="43" xfId="0" applyNumberFormat="1" applyFont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181" fontId="0" fillId="0" borderId="0" xfId="0" applyNumberFormat="1" applyAlignment="1">
      <alignment horizontal="center"/>
    </xf>
    <xf numFmtId="17" fontId="0" fillId="0" borderId="0" xfId="21" applyNumberFormat="1" applyAlignment="1">
      <alignment horizontal="center"/>
    </xf>
    <xf numFmtId="181" fontId="0" fillId="0" borderId="0" xfId="21" applyNumberFormat="1" applyAlignment="1">
      <alignment horizontal="center"/>
    </xf>
    <xf numFmtId="0" fontId="1" fillId="0" borderId="11" xfId="0" applyFont="1" applyBorder="1" applyAlignment="1" applyProtection="1">
      <alignment horizontal="centerContinuous"/>
      <protection/>
    </xf>
    <xf numFmtId="0" fontId="15" fillId="0" borderId="55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15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2" fontId="0" fillId="0" borderId="5" xfId="0" applyNumberFormat="1" applyFont="1" applyFill="1" applyBorder="1" applyAlignment="1" applyProtection="1">
      <alignment horizontal="center"/>
      <protection/>
    </xf>
    <xf numFmtId="15" fontId="4" fillId="2" borderId="56" xfId="0" applyNumberFormat="1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172" fontId="4" fillId="2" borderId="57" xfId="0" applyNumberFormat="1" applyFont="1" applyFill="1" applyBorder="1" applyAlignment="1" applyProtection="1">
      <alignment horizontal="center"/>
      <protection locked="0"/>
    </xf>
    <xf numFmtId="0" fontId="25" fillId="2" borderId="57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right"/>
      <protection locked="0"/>
    </xf>
    <xf numFmtId="2" fontId="4" fillId="2" borderId="57" xfId="0" applyNumberFormat="1" applyFont="1" applyFill="1" applyBorder="1" applyAlignment="1" applyProtection="1">
      <alignment horizontal="right"/>
      <protection locked="0"/>
    </xf>
    <xf numFmtId="2" fontId="4" fillId="2" borderId="57" xfId="0" applyNumberFormat="1" applyFont="1" applyFill="1" applyBorder="1" applyAlignment="1" applyProtection="1">
      <alignment horizontal="center"/>
      <protection locked="0"/>
    </xf>
    <xf numFmtId="2" fontId="25" fillId="2" borderId="5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9" fontId="4" fillId="2" borderId="57" xfId="21" applyFont="1" applyFill="1" applyBorder="1" applyAlignment="1" applyProtection="1">
      <alignment horizontal="center" wrapText="1"/>
      <protection locked="0"/>
    </xf>
    <xf numFmtId="9" fontId="25" fillId="2" borderId="57" xfId="2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42" xfId="0" applyFill="1" applyBorder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/>
      <protection/>
    </xf>
    <xf numFmtId="9" fontId="4" fillId="2" borderId="57" xfId="2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 applyProtection="1">
      <alignment horizontal="center"/>
      <protection locked="0"/>
    </xf>
    <xf numFmtId="1" fontId="33" fillId="0" borderId="0" xfId="0" applyNumberFormat="1" applyFont="1" applyFill="1" applyBorder="1" applyAlignment="1" applyProtection="1">
      <alignment horizontal="center"/>
      <protection/>
    </xf>
    <xf numFmtId="9" fontId="25" fillId="2" borderId="57" xfId="2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10" fillId="0" borderId="38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 quotePrefix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25" fillId="2" borderId="57" xfId="0" applyFont="1" applyFill="1" applyBorder="1" applyAlignment="1" applyProtection="1">
      <alignment horizontal="center"/>
      <protection/>
    </xf>
    <xf numFmtId="0" fontId="0" fillId="2" borderId="58" xfId="0" applyFill="1" applyBorder="1" applyAlignment="1" applyProtection="1">
      <alignment/>
      <protection locked="0"/>
    </xf>
    <xf numFmtId="0" fontId="4" fillId="2" borderId="59" xfId="0" applyFont="1" applyFill="1" applyBorder="1" applyAlignment="1" applyProtection="1">
      <alignment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 quotePrefix="1">
      <alignment horizontal="center"/>
      <protection locked="0"/>
    </xf>
    <xf numFmtId="0" fontId="4" fillId="2" borderId="51" xfId="0" applyFont="1" applyFill="1" applyBorder="1" applyAlignment="1" applyProtection="1">
      <alignment horizontal="centerContinuous" vertical="center"/>
      <protection locked="0"/>
    </xf>
    <xf numFmtId="0" fontId="4" fillId="2" borderId="44" xfId="0" applyFont="1" applyFill="1" applyBorder="1" applyAlignment="1" applyProtection="1">
      <alignment horizontal="centerContinuous"/>
      <protection locked="0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1" xfId="0" applyBorder="1" applyAlignment="1" applyProtection="1">
      <alignment horizontal="left" vertical="center"/>
      <protection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49" xfId="0" applyFont="1" applyFill="1" applyBorder="1" applyAlignment="1">
      <alignment horizontal="left"/>
    </xf>
    <xf numFmtId="0" fontId="4" fillId="2" borderId="43" xfId="0" applyFont="1" applyFill="1" applyBorder="1" applyAlignment="1" applyProtection="1">
      <alignment horizontal="left"/>
      <protection locked="0"/>
    </xf>
    <xf numFmtId="0" fontId="4" fillId="2" borderId="49" xfId="0" applyFont="1" applyFill="1" applyBorder="1" applyAlignment="1" applyProtection="1">
      <alignment horizontal="centerContinuous" wrapText="1"/>
      <protection locked="0"/>
    </xf>
    <xf numFmtId="0" fontId="0" fillId="2" borderId="50" xfId="0" applyFill="1" applyBorder="1" applyAlignment="1" applyProtection="1">
      <alignment horizontal="centerContinuous" vertical="center"/>
      <protection/>
    </xf>
    <xf numFmtId="0" fontId="0" fillId="0" borderId="29" xfId="0" applyFill="1" applyBorder="1" applyAlignment="1" applyProtection="1">
      <alignment horizontal="center"/>
      <protection locked="0"/>
    </xf>
    <xf numFmtId="15" fontId="4" fillId="2" borderId="62" xfId="0" applyNumberFormat="1" applyFont="1" applyFill="1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182" fontId="4" fillId="2" borderId="57" xfId="21" applyNumberFormat="1" applyFont="1" applyFill="1" applyBorder="1" applyAlignment="1" applyProtection="1">
      <alignment horizontal="center"/>
      <protection locked="0"/>
    </xf>
    <xf numFmtId="9" fontId="0" fillId="0" borderId="0" xfId="21" applyFont="1" applyBorder="1" applyAlignment="1">
      <alignment horizontal="left"/>
    </xf>
    <xf numFmtId="2" fontId="34" fillId="2" borderId="22" xfId="0" applyNumberFormat="1" applyFont="1" applyFill="1" applyBorder="1" applyAlignment="1" applyProtection="1">
      <alignment horizontal="center"/>
      <protection locked="0"/>
    </xf>
    <xf numFmtId="2" fontId="34" fillId="2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1" fontId="10" fillId="0" borderId="5" xfId="0" applyNumberFormat="1" applyFont="1" applyBorder="1" applyAlignment="1" applyProtection="1">
      <alignment horizontal="center"/>
      <protection locked="0"/>
    </xf>
    <xf numFmtId="0" fontId="25" fillId="2" borderId="60" xfId="0" applyFont="1" applyFill="1" applyBorder="1" applyAlignment="1" applyProtection="1">
      <alignment horizontal="left" vertical="center"/>
      <protection locked="0"/>
    </xf>
    <xf numFmtId="15" fontId="25" fillId="2" borderId="56" xfId="0" applyNumberFormat="1" applyFont="1" applyFill="1" applyBorder="1" applyAlignment="1" applyProtection="1">
      <alignment horizontal="center" vertical="center"/>
      <protection locked="0"/>
    </xf>
    <xf numFmtId="0" fontId="25" fillId="2" borderId="22" xfId="0" applyFont="1" applyFill="1" applyBorder="1" applyAlignment="1" applyProtection="1">
      <alignment horizontal="left" vertical="center"/>
      <protection locked="0"/>
    </xf>
    <xf numFmtId="0" fontId="25" fillId="2" borderId="36" xfId="0" applyFont="1" applyFill="1" applyBorder="1" applyAlignment="1" applyProtection="1">
      <alignment horizontal="center" vertical="center"/>
      <protection locked="0"/>
    </xf>
    <xf numFmtId="0" fontId="25" fillId="2" borderId="36" xfId="0" applyFont="1" applyFill="1" applyBorder="1" applyAlignment="1" applyProtection="1">
      <alignment horizont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/>
      <protection/>
    </xf>
    <xf numFmtId="15" fontId="10" fillId="0" borderId="6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0" fontId="10" fillId="0" borderId="8" xfId="0" applyFont="1" applyFill="1" applyBorder="1" applyAlignment="1" applyProtection="1">
      <alignment horizontal="right"/>
      <protection/>
    </xf>
    <xf numFmtId="0" fontId="10" fillId="0" borderId="8" xfId="0" applyFont="1" applyFill="1" applyBorder="1" applyAlignment="1" applyProtection="1">
      <alignment/>
      <protection/>
    </xf>
    <xf numFmtId="0" fontId="25" fillId="2" borderId="49" xfId="0" applyFont="1" applyFill="1" applyBorder="1" applyAlignment="1" applyProtection="1">
      <alignment horizontal="left" wrapText="1"/>
      <protection locked="0"/>
    </xf>
    <xf numFmtId="0" fontId="10" fillId="2" borderId="58" xfId="0" applyFont="1" applyFill="1" applyBorder="1" applyAlignment="1" applyProtection="1">
      <alignment/>
      <protection/>
    </xf>
    <xf numFmtId="0" fontId="10" fillId="2" borderId="59" xfId="0" applyFont="1" applyFill="1" applyBorder="1" applyAlignment="1" applyProtection="1">
      <alignment/>
      <protection/>
    </xf>
    <xf numFmtId="0" fontId="10" fillId="2" borderId="50" xfId="0" applyFont="1" applyFill="1" applyBorder="1" applyAlignment="1" applyProtection="1">
      <alignment horizontal="centerContinuous" vertical="center"/>
      <protection/>
    </xf>
    <xf numFmtId="0" fontId="10" fillId="2" borderId="51" xfId="0" applyFont="1" applyFill="1" applyBorder="1" applyAlignment="1" applyProtection="1">
      <alignment horizontal="centerContinuous" vertical="center"/>
      <protection/>
    </xf>
    <xf numFmtId="0" fontId="10" fillId="2" borderId="44" xfId="0" applyFont="1" applyFill="1" applyBorder="1" applyAlignment="1" applyProtection="1">
      <alignment horizontal="centerContinuous"/>
      <protection/>
    </xf>
    <xf numFmtId="0" fontId="25" fillId="2" borderId="49" xfId="0" applyFont="1" applyFill="1" applyBorder="1" applyAlignment="1" applyProtection="1">
      <alignment horizontal="left" wrapText="1"/>
      <protection/>
    </xf>
    <xf numFmtId="0" fontId="25" fillId="2" borderId="35" xfId="0" applyFont="1" applyFill="1" applyBorder="1" applyAlignment="1" applyProtection="1">
      <alignment horizontal="centerContinuous" wrapText="1"/>
      <protection/>
    </xf>
    <xf numFmtId="0" fontId="25" fillId="2" borderId="36" xfId="0" applyFont="1" applyFill="1" applyBorder="1" applyAlignment="1" applyProtection="1">
      <alignment horizontal="center" vertical="center"/>
      <protection/>
    </xf>
    <xf numFmtId="0" fontId="25" fillId="2" borderId="37" xfId="0" applyFont="1" applyFill="1" applyBorder="1" applyAlignment="1" applyProtection="1">
      <alignment horizontal="center" vertical="center"/>
      <protection/>
    </xf>
    <xf numFmtId="15" fontId="25" fillId="2" borderId="56" xfId="0" applyNumberFormat="1" applyFont="1" applyFill="1" applyBorder="1" applyAlignment="1" applyProtection="1">
      <alignment horizontal="center" vertical="center"/>
      <protection/>
    </xf>
    <xf numFmtId="0" fontId="25" fillId="2" borderId="60" xfId="0" applyFont="1" applyFill="1" applyBorder="1" applyAlignment="1" applyProtection="1">
      <alignment horizontal="left" vertical="center"/>
      <protection/>
    </xf>
    <xf numFmtId="0" fontId="25" fillId="2" borderId="22" xfId="0" applyFont="1" applyFill="1" applyBorder="1" applyAlignment="1" applyProtection="1">
      <alignment horizontal="left" vertical="center"/>
      <protection/>
    </xf>
    <xf numFmtId="0" fontId="4" fillId="2" borderId="49" xfId="0" applyFont="1" applyFill="1" applyBorder="1" applyAlignment="1" applyProtection="1">
      <alignment horizontal="left" wrapText="1"/>
      <protection locked="0"/>
    </xf>
    <xf numFmtId="0" fontId="4" fillId="0" borderId="63" xfId="0" applyFont="1" applyFill="1" applyBorder="1" applyAlignment="1" applyProtection="1" quotePrefix="1">
      <alignment horizontal="center"/>
      <protection locked="0"/>
    </xf>
    <xf numFmtId="9" fontId="25" fillId="2" borderId="0" xfId="21" applyFont="1" applyFill="1" applyBorder="1" applyAlignment="1" applyProtection="1">
      <alignment horizontal="center"/>
      <protection locked="0"/>
    </xf>
    <xf numFmtId="2" fontId="34" fillId="2" borderId="64" xfId="0" applyNumberFormat="1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ill="1" applyBorder="1" applyAlignment="1" applyProtection="1">
      <alignment horizontal="right"/>
      <protection/>
    </xf>
    <xf numFmtId="0" fontId="25" fillId="2" borderId="49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65" xfId="0" applyFont="1" applyBorder="1" applyAlignment="1">
      <alignment horizontal="right"/>
    </xf>
    <xf numFmtId="0" fontId="0" fillId="0" borderId="65" xfId="0" applyFont="1" applyBorder="1" applyAlignment="1" quotePrefix="1">
      <alignment horizontal="right"/>
    </xf>
    <xf numFmtId="14" fontId="0" fillId="0" borderId="0" xfId="0" applyNumberFormat="1" applyAlignment="1">
      <alignment/>
    </xf>
    <xf numFmtId="183" fontId="4" fillId="2" borderId="57" xfId="21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66" xfId="0" applyFill="1" applyBorder="1" applyAlignment="1">
      <alignment horizontal="center"/>
    </xf>
    <xf numFmtId="0" fontId="0" fillId="0" borderId="0" xfId="0" applyFill="1" applyAlignment="1">
      <alignment horizontal="left"/>
    </xf>
    <xf numFmtId="2" fontId="4" fillId="2" borderId="66" xfId="0" applyNumberFormat="1" applyFont="1" applyFill="1" applyBorder="1" applyAlignment="1" applyProtection="1">
      <alignment horizontal="center"/>
      <protection locked="0"/>
    </xf>
    <xf numFmtId="2" fontId="0" fillId="0" borderId="67" xfId="0" applyNumberFormat="1" applyFont="1" applyFill="1" applyBorder="1" applyAlignment="1" applyProtection="1">
      <alignment horizontal="center"/>
      <protection/>
    </xf>
    <xf numFmtId="1" fontId="4" fillId="2" borderId="66" xfId="0" applyNumberFormat="1" applyFont="1" applyFill="1" applyBorder="1" applyAlignment="1" applyProtection="1">
      <alignment horizontal="center"/>
      <protection locked="0"/>
    </xf>
    <xf numFmtId="0" fontId="36" fillId="2" borderId="35" xfId="0" applyFont="1" applyFill="1" applyBorder="1" applyAlignment="1" applyProtection="1" quotePrefix="1">
      <alignment horizontal="center"/>
      <protection locked="0"/>
    </xf>
    <xf numFmtId="9" fontId="0" fillId="0" borderId="5" xfId="21" applyBorder="1" applyAlignment="1" applyProtection="1">
      <alignment horizontal="center"/>
      <protection/>
    </xf>
    <xf numFmtId="2" fontId="11" fillId="0" borderId="29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right"/>
      <protection/>
    </xf>
    <xf numFmtId="1" fontId="40" fillId="0" borderId="5" xfId="0" applyNumberFormat="1" applyFont="1" applyFill="1" applyBorder="1" applyAlignment="1" applyProtection="1">
      <alignment horizontal="center"/>
      <protection/>
    </xf>
    <xf numFmtId="0" fontId="0" fillId="2" borderId="66" xfId="0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0" fontId="25" fillId="0" borderId="57" xfId="0" applyFont="1" applyFill="1" applyBorder="1" applyAlignment="1" applyProtection="1">
      <alignment horizontal="center"/>
      <protection locked="0"/>
    </xf>
    <xf numFmtId="1" fontId="7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7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38" xfId="0" applyBorder="1" applyAlignment="1" applyProtection="1">
      <alignment vertical="center"/>
      <protection locked="0"/>
    </xf>
    <xf numFmtId="0" fontId="0" fillId="2" borderId="50" xfId="0" applyFill="1" applyBorder="1" applyAlignment="1" applyProtection="1">
      <alignment horizontal="centerContinuous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2" fontId="0" fillId="0" borderId="42" xfId="0" applyNumberFormat="1" applyFont="1" applyBorder="1" applyAlignment="1" applyProtection="1">
      <alignment horizontal="center"/>
      <protection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52" xfId="0" applyBorder="1" applyAlignment="1">
      <alignment horizontal="center"/>
    </xf>
    <xf numFmtId="0" fontId="0" fillId="0" borderId="73" xfId="0" applyBorder="1" applyAlignment="1">
      <alignment horizontal="center"/>
    </xf>
    <xf numFmtId="2" fontId="0" fillId="0" borderId="7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7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25" fillId="0" borderId="57" xfId="0" applyNumberFormat="1" applyFont="1" applyFill="1" applyBorder="1" applyAlignment="1" applyProtection="1">
      <alignment horizontal="center"/>
      <protection locked="0"/>
    </xf>
    <xf numFmtId="2" fontId="0" fillId="4" borderId="76" xfId="0" applyNumberFormat="1" applyFill="1" applyBorder="1" applyAlignment="1" applyProtection="1">
      <alignment horizontal="center"/>
      <protection locked="0"/>
    </xf>
    <xf numFmtId="0" fontId="0" fillId="4" borderId="66" xfId="0" applyFont="1" applyFill="1" applyBorder="1" applyAlignment="1" applyProtection="1">
      <alignment horizontal="center"/>
      <protection locked="0"/>
    </xf>
    <xf numFmtId="2" fontId="0" fillId="4" borderId="66" xfId="0" applyNumberFormat="1" applyFont="1" applyFill="1" applyBorder="1" applyAlignment="1" applyProtection="1">
      <alignment horizontal="center"/>
      <protection locked="0"/>
    </xf>
    <xf numFmtId="1" fontId="0" fillId="4" borderId="66" xfId="0" applyNumberFormat="1" applyFont="1" applyFill="1" applyBorder="1" applyAlignment="1" applyProtection="1">
      <alignment horizontal="center"/>
      <protection locked="0"/>
    </xf>
    <xf numFmtId="1" fontId="0" fillId="4" borderId="66" xfId="0" applyNumberFormat="1" applyFill="1" applyBorder="1" applyAlignment="1" applyProtection="1">
      <alignment horizontal="center"/>
      <protection locked="0"/>
    </xf>
    <xf numFmtId="188" fontId="0" fillId="5" borderId="66" xfId="0" applyNumberFormat="1" applyFill="1" applyBorder="1" applyAlignment="1" applyProtection="1">
      <alignment horizontal="center"/>
      <protection locked="0"/>
    </xf>
    <xf numFmtId="189" fontId="0" fillId="6" borderId="66" xfId="0" applyNumberFormat="1" applyFill="1" applyBorder="1" applyAlignment="1" applyProtection="1">
      <alignment horizontal="center"/>
      <protection locked="0"/>
    </xf>
    <xf numFmtId="1" fontId="0" fillId="4" borderId="76" xfId="0" applyNumberFormat="1" applyFont="1" applyFill="1" applyBorder="1" applyAlignment="1" applyProtection="1">
      <alignment horizontal="center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/>
    </xf>
    <xf numFmtId="0" fontId="4" fillId="0" borderId="5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69" xfId="0" applyFont="1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21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25" fillId="0" borderId="77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AG/SAG Mill Preliminary Design - Projected Power Draw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"/>
          <c:y val="0.086"/>
          <c:w val="0.728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'Autogenous Mill'!$R$57</c:f>
              <c:strCache>
                <c:ptCount val="1"/>
                <c:pt idx="0">
                  <c:v>Length AG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'Autogenous Mill'!$Q$58:$Q$69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'Autogenous Mill'!$R$58:$R$69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'Autogenous Mill'!$S$57</c:f>
              <c:strCache>
                <c:ptCount val="1"/>
                <c:pt idx="0">
                  <c:v>Length SAG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'Autogenous Mill'!$Q$58:$Q$69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'Autogenous Mill'!$S$58:$S$69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'Autogenous Mill'!$U$57</c:f>
              <c:strCache>
                <c:ptCount val="1"/>
                <c:pt idx="0">
                  <c:v>Design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'Autogenous Mill'!$T$58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'Autogenous Mill'!$U$58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'Autogenous Mill'!$W$57</c:f>
              <c:strCache>
                <c:ptCount val="1"/>
                <c:pt idx="0">
                  <c:v>Common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Typical Mill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'Autogenous Mill'!$V$58:$V$70</c:f>
              <c:numCache>
                <c:ptCount val="13"/>
                <c:pt idx="0">
                  <c:v>5.48</c:v>
                </c:pt>
                <c:pt idx="1">
                  <c:v>6.4</c:v>
                </c:pt>
                <c:pt idx="2">
                  <c:v>7.31</c:v>
                </c:pt>
                <c:pt idx="3">
                  <c:v>7.31</c:v>
                </c:pt>
                <c:pt idx="4">
                  <c:v>8.22</c:v>
                </c:pt>
                <c:pt idx="5">
                  <c:v>8.22</c:v>
                </c:pt>
                <c:pt idx="6">
                  <c:v>8.53</c:v>
                </c:pt>
                <c:pt idx="7">
                  <c:v>8.53</c:v>
                </c:pt>
                <c:pt idx="8">
                  <c:v>9.14</c:v>
                </c:pt>
                <c:pt idx="9">
                  <c:v>9.75</c:v>
                </c:pt>
                <c:pt idx="10">
                  <c:v>9.75</c:v>
                </c:pt>
                <c:pt idx="11">
                  <c:v>10.36</c:v>
                </c:pt>
                <c:pt idx="12">
                  <c:v>10.36</c:v>
                </c:pt>
              </c:numCache>
            </c:numRef>
          </c:xVal>
          <c:yVal>
            <c:numRef>
              <c:f>'Autogenous Mill'!$W$58:$W$70</c:f>
              <c:numCache>
                <c:ptCount val="13"/>
                <c:pt idx="0">
                  <c:v>2.13</c:v>
                </c:pt>
                <c:pt idx="1">
                  <c:v>2.43</c:v>
                </c:pt>
                <c:pt idx="2">
                  <c:v>2.43</c:v>
                </c:pt>
                <c:pt idx="3">
                  <c:v>3.05</c:v>
                </c:pt>
                <c:pt idx="4">
                  <c:v>4.41</c:v>
                </c:pt>
                <c:pt idx="5">
                  <c:v>5.18</c:v>
                </c:pt>
                <c:pt idx="6">
                  <c:v>3.5</c:v>
                </c:pt>
                <c:pt idx="7">
                  <c:v>4.26</c:v>
                </c:pt>
                <c:pt idx="8">
                  <c:v>3.35</c:v>
                </c:pt>
                <c:pt idx="9">
                  <c:v>4.26</c:v>
                </c:pt>
                <c:pt idx="10">
                  <c:v>5.48</c:v>
                </c:pt>
                <c:pt idx="11">
                  <c:v>4.26</c:v>
                </c:pt>
                <c:pt idx="12">
                  <c:v>4.87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'Autogenous Mill'!$Y$57</c:f>
              <c:strCache>
                <c:ptCount val="1"/>
                <c:pt idx="0">
                  <c:v>0.4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'Autogenous Mill'!$X$58:$X$69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'Autogenous Mill'!$Y$58:$Y$69</c:f>
              <c:numCache>
                <c:ptCount val="12"/>
                <c:pt idx="0">
                  <c:v>0.4</c:v>
                </c:pt>
                <c:pt idx="1">
                  <c:v>0.8</c:v>
                </c:pt>
                <c:pt idx="2">
                  <c:v>1.2000000000000002</c:v>
                </c:pt>
                <c:pt idx="3">
                  <c:v>1.6</c:v>
                </c:pt>
                <c:pt idx="4">
                  <c:v>2</c:v>
                </c:pt>
                <c:pt idx="5">
                  <c:v>2.4000000000000004</c:v>
                </c:pt>
                <c:pt idx="6">
                  <c:v>2.8000000000000003</c:v>
                </c:pt>
                <c:pt idx="7">
                  <c:v>3.2</c:v>
                </c:pt>
                <c:pt idx="8">
                  <c:v>3.6</c:v>
                </c:pt>
                <c:pt idx="9">
                  <c:v>4</c:v>
                </c:pt>
                <c:pt idx="10">
                  <c:v>4.4</c:v>
                </c:pt>
                <c:pt idx="11">
                  <c:v>4.800000000000001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'Autogenous Mill'!$Z$57</c:f>
              <c:strCache>
                <c:ptCount val="1"/>
                <c:pt idx="0">
                  <c:v>0.6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'Autogenous Mill'!$X$58:$X$69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'Autogenous Mill'!$Z$58:$Z$69</c:f>
              <c:numCache>
                <c:ptCount val="12"/>
                <c:pt idx="0">
                  <c:v>0.6</c:v>
                </c:pt>
                <c:pt idx="1">
                  <c:v>1.2</c:v>
                </c:pt>
                <c:pt idx="2">
                  <c:v>1.7999999999999998</c:v>
                </c:pt>
                <c:pt idx="3">
                  <c:v>2.4</c:v>
                </c:pt>
                <c:pt idx="4">
                  <c:v>3</c:v>
                </c:pt>
                <c:pt idx="5">
                  <c:v>3.5999999999999996</c:v>
                </c:pt>
                <c:pt idx="6">
                  <c:v>4.2</c:v>
                </c:pt>
                <c:pt idx="7">
                  <c:v>4.8</c:v>
                </c:pt>
                <c:pt idx="8">
                  <c:v>5.3999999999999995</c:v>
                </c:pt>
                <c:pt idx="9">
                  <c:v>6</c:v>
                </c:pt>
                <c:pt idx="10">
                  <c:v>6.6</c:v>
                </c:pt>
                <c:pt idx="11">
                  <c:v>7.199999999999999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'Autogenous Mill'!$AA$57</c:f>
              <c:strCache>
                <c:ptCount val="1"/>
                <c:pt idx="0">
                  <c:v>0.8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'Autogenous Mill'!$X$58:$X$69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'Autogenous Mill'!$AA$58:$AA$69</c:f>
              <c:numCache>
                <c:ptCount val="12"/>
                <c:pt idx="0">
                  <c:v>0.8</c:v>
                </c:pt>
                <c:pt idx="1">
                  <c:v>1.6</c:v>
                </c:pt>
                <c:pt idx="2">
                  <c:v>2.4000000000000004</c:v>
                </c:pt>
                <c:pt idx="3">
                  <c:v>3.2</c:v>
                </c:pt>
                <c:pt idx="4">
                  <c:v>4</c:v>
                </c:pt>
                <c:pt idx="5">
                  <c:v>4.800000000000001</c:v>
                </c:pt>
                <c:pt idx="6">
                  <c:v>5.6000000000000005</c:v>
                </c:pt>
                <c:pt idx="7">
                  <c:v>6.4</c:v>
                </c:pt>
                <c:pt idx="8">
                  <c:v>7.2</c:v>
                </c:pt>
                <c:pt idx="9">
                  <c:v>8</c:v>
                </c:pt>
                <c:pt idx="10">
                  <c:v>8.8</c:v>
                </c:pt>
                <c:pt idx="11">
                  <c:v>9.600000000000001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'Autogenous Mill'!$AB$57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'Autogenous Mill'!$X$58:$X$69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'Autogenous Mill'!$AB$58:$AB$69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axId val="61259455"/>
        <c:axId val="14464184"/>
      </c:scatterChart>
      <c:valAx>
        <c:axId val="61259455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Diameter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14464184"/>
        <c:crosses val="autoZero"/>
        <c:crossBetween val="midCat"/>
        <c:dispUnits/>
        <c:majorUnit val="1"/>
        <c:minorUnit val="0.2"/>
      </c:valAx>
      <c:valAx>
        <c:axId val="1446418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Length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61259455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Rod Mill Preliminary Design - Projected Power Draw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86"/>
          <c:w val="0.743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'Rodmill '!$P$41</c:f>
              <c:strCache>
                <c:ptCount val="1"/>
                <c:pt idx="0">
                  <c:v>Length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forward val="2"/>
            <c:dispEq val="0"/>
            <c:dispRSqr val="0"/>
          </c:trendline>
          <c:xVal>
            <c:numRef>
              <c:f>'Rodmill '!$O$42:$O$51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'Rodmill '!$P$42:$P$51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'Rodmill '!$R$41</c:f>
              <c:strCache>
                <c:ptCount val="1"/>
                <c:pt idx="0">
                  <c:v>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'Rodmill '!$Q$42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'Rodmill '!$R$42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'Rodmill '!$T$41</c:f>
              <c:strCache>
                <c:ptCount val="1"/>
                <c:pt idx="0">
                  <c:v>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Typical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'Rodmill '!$S$42:$S$67</c:f>
              <c:numCache>
                <c:ptCount val="26"/>
                <c:pt idx="0">
                  <c:v>1.5</c:v>
                </c:pt>
                <c:pt idx="1">
                  <c:v>1.5</c:v>
                </c:pt>
                <c:pt idx="2">
                  <c:v>1.8</c:v>
                </c:pt>
                <c:pt idx="3">
                  <c:v>1.8</c:v>
                </c:pt>
                <c:pt idx="4">
                  <c:v>2.1</c:v>
                </c:pt>
                <c:pt idx="5">
                  <c:v>2.1</c:v>
                </c:pt>
                <c:pt idx="6">
                  <c:v>2.4</c:v>
                </c:pt>
                <c:pt idx="7">
                  <c:v>2.4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3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  <c:pt idx="18">
                  <c:v>4</c:v>
                </c:pt>
                <c:pt idx="19">
                  <c:v>4.1</c:v>
                </c:pt>
                <c:pt idx="20">
                  <c:v>4.1</c:v>
                </c:pt>
                <c:pt idx="21">
                  <c:v>4.2</c:v>
                </c:pt>
                <c:pt idx="22">
                  <c:v>4.4</c:v>
                </c:pt>
                <c:pt idx="23">
                  <c:v>4.5</c:v>
                </c:pt>
                <c:pt idx="24">
                  <c:v>4.8</c:v>
                </c:pt>
                <c:pt idx="25">
                  <c:v>4.8</c:v>
                </c:pt>
              </c:numCache>
            </c:numRef>
          </c:xVal>
          <c:yVal>
            <c:numRef>
              <c:f>'Rodmill '!$T$42:$T$67</c:f>
              <c:numCache>
                <c:ptCount val="26"/>
                <c:pt idx="0">
                  <c:v>2.4</c:v>
                </c:pt>
                <c:pt idx="1">
                  <c:v>3</c:v>
                </c:pt>
                <c:pt idx="2">
                  <c:v>2.4</c:v>
                </c:pt>
                <c:pt idx="3">
                  <c:v>3</c:v>
                </c:pt>
                <c:pt idx="4">
                  <c:v>3</c:v>
                </c:pt>
                <c:pt idx="5">
                  <c:v>3.6</c:v>
                </c:pt>
                <c:pt idx="6">
                  <c:v>3</c:v>
                </c:pt>
                <c:pt idx="7">
                  <c:v>4.2</c:v>
                </c:pt>
                <c:pt idx="8">
                  <c:v>3.6</c:v>
                </c:pt>
                <c:pt idx="9">
                  <c:v>4.8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4.8</c:v>
                </c:pt>
                <c:pt idx="14">
                  <c:v>4.8</c:v>
                </c:pt>
                <c:pt idx="15">
                  <c:v>4.8</c:v>
                </c:pt>
                <c:pt idx="16">
                  <c:v>5.4</c:v>
                </c:pt>
                <c:pt idx="17">
                  <c:v>5.4</c:v>
                </c:pt>
                <c:pt idx="18">
                  <c:v>6</c:v>
                </c:pt>
                <c:pt idx="19">
                  <c:v>5.4</c:v>
                </c:pt>
                <c:pt idx="20">
                  <c:v>6</c:v>
                </c:pt>
                <c:pt idx="21">
                  <c:v>5.4</c:v>
                </c:pt>
                <c:pt idx="22">
                  <c:v>6</c:v>
                </c:pt>
                <c:pt idx="23">
                  <c:v>6</c:v>
                </c:pt>
                <c:pt idx="24">
                  <c:v>7.7</c:v>
                </c:pt>
                <c:pt idx="25">
                  <c:v>6.8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'Rodmill '!$U$41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'Rodmill '!$O$42:$O$51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'Rodmill '!$U$42:$U$51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'Rodmill '!$V$41</c:f>
              <c:strCache>
                <c:ptCount val="1"/>
                <c:pt idx="0">
                  <c:v>1.25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'Rodmill '!$O$42:$O$51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'Rodmill '!$V$42:$V$51</c:f>
              <c:numCache>
                <c:ptCount val="10"/>
                <c:pt idx="0">
                  <c:v>1.25</c:v>
                </c:pt>
                <c:pt idx="1">
                  <c:v>1.875</c:v>
                </c:pt>
                <c:pt idx="2">
                  <c:v>2.5</c:v>
                </c:pt>
                <c:pt idx="3">
                  <c:v>3.125</c:v>
                </c:pt>
                <c:pt idx="4">
                  <c:v>3.75</c:v>
                </c:pt>
                <c:pt idx="5">
                  <c:v>4.375</c:v>
                </c:pt>
                <c:pt idx="6">
                  <c:v>5</c:v>
                </c:pt>
                <c:pt idx="7">
                  <c:v>5.625</c:v>
                </c:pt>
                <c:pt idx="8">
                  <c:v>6.25</c:v>
                </c:pt>
                <c:pt idx="9">
                  <c:v>6.875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'Rodmill '!$W$41</c:f>
              <c:strCache>
                <c:ptCount val="1"/>
                <c:pt idx="0">
                  <c:v>1.5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'Rodmill '!$O$42:$O$51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'Rodmill '!$W$42:$W$51</c:f>
              <c:numCache>
                <c:ptCount val="10"/>
                <c:pt idx="0">
                  <c:v>1.5</c:v>
                </c:pt>
                <c:pt idx="1">
                  <c:v>2.25</c:v>
                </c:pt>
                <c:pt idx="2">
                  <c:v>3</c:v>
                </c:pt>
                <c:pt idx="3">
                  <c:v>3.75</c:v>
                </c:pt>
                <c:pt idx="4">
                  <c:v>4.5</c:v>
                </c:pt>
                <c:pt idx="5">
                  <c:v>5.25</c:v>
                </c:pt>
                <c:pt idx="6">
                  <c:v>6</c:v>
                </c:pt>
                <c:pt idx="7">
                  <c:v>6.75</c:v>
                </c:pt>
                <c:pt idx="8">
                  <c:v>7.5</c:v>
                </c:pt>
                <c:pt idx="9">
                  <c:v>8.25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'Rodmill '!$X$41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'Rodmill '!$O$42:$O$51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'Rodmill '!$X$42:$X$51</c:f>
              <c:numCache>
                <c:ptCount val="10"/>
              </c:numCache>
            </c:numRef>
          </c:yVal>
          <c:smooth val="0"/>
        </c:ser>
        <c:axId val="63068793"/>
        <c:axId val="30748226"/>
      </c:scatterChart>
      <c:valAx>
        <c:axId val="63068793"/>
        <c:scaling>
          <c:orientation val="minMax"/>
          <c:max val="5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Diameter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30748226"/>
        <c:crosses val="autoZero"/>
        <c:crossBetween val="midCat"/>
        <c:dispUnits/>
        <c:majorUnit val="1"/>
        <c:minorUnit val="0.2"/>
      </c:valAx>
      <c:valAx>
        <c:axId val="30748226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length 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68793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Ball Mill Preliminary Design - Projected Power Draw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86"/>
          <c:w val="0.68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strRef>
              <c:f>Ballmill!$S$8</c:f>
              <c:strCache>
                <c:ptCount val="1"/>
                <c:pt idx="0">
                  <c:v>Length Grate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Ballmill!$R$9:$R$25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xVal>
          <c:yVal>
            <c:numRef>
              <c:f>Ballmill!$S$9:$S$25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Ballmill!$T$8</c:f>
              <c:strCache>
                <c:ptCount val="1"/>
                <c:pt idx="0">
                  <c:v>Length O/F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numRef>
              <c:f>Ballmill!$R$9:$R$25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xVal>
          <c:yVal>
            <c:numRef>
              <c:f>Ballmill!$T$9:$T$25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Ballmill!$Y$8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Ballmill!$R$9:$R$25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xVal>
          <c:yVal>
            <c:numRef>
              <c:f>Ballmill!$Y$9:$Y$25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Ballmill!$Z$8</c:f>
              <c:strCache>
                <c:ptCount val="1"/>
                <c:pt idx="0">
                  <c:v>1.25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Ballmill!$R$9:$R$25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xVal>
          <c:yVal>
            <c:numRef>
              <c:f>Ballmill!$Z$9:$Z$25</c:f>
              <c:numCache>
                <c:ptCount val="17"/>
                <c:pt idx="0">
                  <c:v>1.25</c:v>
                </c:pt>
                <c:pt idx="1">
                  <c:v>1.875</c:v>
                </c:pt>
                <c:pt idx="2">
                  <c:v>2.5</c:v>
                </c:pt>
                <c:pt idx="3">
                  <c:v>3.125</c:v>
                </c:pt>
                <c:pt idx="4">
                  <c:v>3.75</c:v>
                </c:pt>
                <c:pt idx="5">
                  <c:v>4.375</c:v>
                </c:pt>
                <c:pt idx="6">
                  <c:v>5</c:v>
                </c:pt>
                <c:pt idx="7">
                  <c:v>5.625</c:v>
                </c:pt>
                <c:pt idx="8">
                  <c:v>6.25</c:v>
                </c:pt>
                <c:pt idx="9">
                  <c:v>6.875</c:v>
                </c:pt>
                <c:pt idx="10">
                  <c:v>7.5</c:v>
                </c:pt>
                <c:pt idx="11">
                  <c:v>8.125</c:v>
                </c:pt>
                <c:pt idx="12">
                  <c:v>8.75</c:v>
                </c:pt>
                <c:pt idx="13">
                  <c:v>9.375</c:v>
                </c:pt>
                <c:pt idx="14">
                  <c:v>10</c:v>
                </c:pt>
                <c:pt idx="15">
                  <c:v>10.625</c:v>
                </c:pt>
                <c:pt idx="16">
                  <c:v>11.25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Ballmill!$AA$8</c:f>
              <c:strCache>
                <c:ptCount val="1"/>
                <c:pt idx="0">
                  <c:v>1.5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Ballmill!$R$9:$R$25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xVal>
          <c:yVal>
            <c:numRef>
              <c:f>Ballmill!$AA$9:$AA$25</c:f>
              <c:numCache>
                <c:ptCount val="17"/>
                <c:pt idx="0">
                  <c:v>1.5</c:v>
                </c:pt>
                <c:pt idx="1">
                  <c:v>2.25</c:v>
                </c:pt>
                <c:pt idx="2">
                  <c:v>3</c:v>
                </c:pt>
                <c:pt idx="3">
                  <c:v>3.75</c:v>
                </c:pt>
                <c:pt idx="4">
                  <c:v>4.5</c:v>
                </c:pt>
                <c:pt idx="5">
                  <c:v>5.25</c:v>
                </c:pt>
                <c:pt idx="6">
                  <c:v>6</c:v>
                </c:pt>
                <c:pt idx="7">
                  <c:v>6.75</c:v>
                </c:pt>
                <c:pt idx="8">
                  <c:v>7.5</c:v>
                </c:pt>
                <c:pt idx="9">
                  <c:v>8.25</c:v>
                </c:pt>
                <c:pt idx="10">
                  <c:v>9</c:v>
                </c:pt>
                <c:pt idx="11">
                  <c:v>9.75</c:v>
                </c:pt>
                <c:pt idx="12">
                  <c:v>10.5</c:v>
                </c:pt>
                <c:pt idx="13">
                  <c:v>11.25</c:v>
                </c:pt>
                <c:pt idx="14">
                  <c:v>12</c:v>
                </c:pt>
                <c:pt idx="15">
                  <c:v>12.75</c:v>
                </c:pt>
                <c:pt idx="16">
                  <c:v>13.5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Ballmill!$V$8</c:f>
              <c:strCache>
                <c:ptCount val="1"/>
                <c:pt idx="0">
                  <c:v>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Ballmill!$U$9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Ballmill!$V$9</c:f>
              <c:numCach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Ballmill!$X$8</c:f>
              <c:strCache>
                <c:ptCount val="1"/>
                <c:pt idx="0">
                  <c:v>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Typical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Ballmill!$W$9:$W$34</c:f>
              <c:numCache>
                <c:ptCount val="26"/>
                <c:pt idx="0">
                  <c:v>5.3</c:v>
                </c:pt>
                <c:pt idx="1">
                  <c:v>4.9</c:v>
                </c:pt>
                <c:pt idx="2">
                  <c:v>5.3</c:v>
                </c:pt>
                <c:pt idx="3">
                  <c:v>5.8</c:v>
                </c:pt>
                <c:pt idx="4">
                  <c:v>2.4</c:v>
                </c:pt>
                <c:pt idx="5">
                  <c:v>2.1</c:v>
                </c:pt>
                <c:pt idx="6">
                  <c:v>2.4</c:v>
                </c:pt>
                <c:pt idx="7">
                  <c:v>2.4</c:v>
                </c:pt>
                <c:pt idx="8">
                  <c:v>2.8</c:v>
                </c:pt>
                <c:pt idx="9">
                  <c:v>2.8</c:v>
                </c:pt>
                <c:pt idx="10">
                  <c:v>5.4</c:v>
                </c:pt>
                <c:pt idx="11">
                  <c:v>3</c:v>
                </c:pt>
                <c:pt idx="12">
                  <c:v>3.2</c:v>
                </c:pt>
                <c:pt idx="13">
                  <c:v>5.4</c:v>
                </c:pt>
                <c:pt idx="14">
                  <c:v>3.5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  <c:pt idx="18">
                  <c:v>4</c:v>
                </c:pt>
                <c:pt idx="19">
                  <c:v>4.1</c:v>
                </c:pt>
                <c:pt idx="20">
                  <c:v>4.1</c:v>
                </c:pt>
                <c:pt idx="21">
                  <c:v>4.2</c:v>
                </c:pt>
                <c:pt idx="22">
                  <c:v>4.4</c:v>
                </c:pt>
                <c:pt idx="23">
                  <c:v>4.5</c:v>
                </c:pt>
                <c:pt idx="24">
                  <c:v>4.8</c:v>
                </c:pt>
                <c:pt idx="25">
                  <c:v>4.8</c:v>
                </c:pt>
              </c:numCache>
            </c:numRef>
          </c:xVal>
          <c:yVal>
            <c:numRef>
              <c:f>Ballmill!$X$9:$X$34</c:f>
              <c:numCache>
                <c:ptCount val="26"/>
                <c:pt idx="0">
                  <c:v>7.5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3.6</c:v>
                </c:pt>
                <c:pt idx="5">
                  <c:v>3.6</c:v>
                </c:pt>
                <c:pt idx="6">
                  <c:v>3</c:v>
                </c:pt>
                <c:pt idx="7">
                  <c:v>4.2</c:v>
                </c:pt>
                <c:pt idx="8">
                  <c:v>3.6</c:v>
                </c:pt>
                <c:pt idx="9">
                  <c:v>4.8</c:v>
                </c:pt>
                <c:pt idx="10">
                  <c:v>7.9</c:v>
                </c:pt>
                <c:pt idx="11">
                  <c:v>4.2</c:v>
                </c:pt>
                <c:pt idx="12">
                  <c:v>4.2</c:v>
                </c:pt>
                <c:pt idx="13">
                  <c:v>6.7</c:v>
                </c:pt>
                <c:pt idx="14">
                  <c:v>4.8</c:v>
                </c:pt>
                <c:pt idx="15">
                  <c:v>4.8</c:v>
                </c:pt>
                <c:pt idx="16">
                  <c:v>5.4</c:v>
                </c:pt>
                <c:pt idx="17">
                  <c:v>5.4</c:v>
                </c:pt>
                <c:pt idx="18">
                  <c:v>6</c:v>
                </c:pt>
                <c:pt idx="19">
                  <c:v>5.4</c:v>
                </c:pt>
                <c:pt idx="20">
                  <c:v>6</c:v>
                </c:pt>
                <c:pt idx="21">
                  <c:v>5.4</c:v>
                </c:pt>
                <c:pt idx="22">
                  <c:v>6</c:v>
                </c:pt>
                <c:pt idx="23">
                  <c:v>6</c:v>
                </c:pt>
                <c:pt idx="24">
                  <c:v>7.7</c:v>
                </c:pt>
                <c:pt idx="25">
                  <c:v>6.8</c:v>
                </c:pt>
              </c:numCache>
            </c:numRef>
          </c:yVal>
          <c:smooth val="0"/>
        </c:ser>
        <c:axId val="8298579"/>
        <c:axId val="7578348"/>
      </c:scatterChart>
      <c:valAx>
        <c:axId val="8298579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Diameter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7578348"/>
        <c:crosses val="autoZero"/>
        <c:crossBetween val="midCat"/>
        <c:dispUnits/>
        <c:majorUnit val="1"/>
        <c:minorUnit val="0.2"/>
      </c:valAx>
      <c:valAx>
        <c:axId val="7578348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Length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8579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Mill Preliminary Design - Projected Power Draw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86"/>
          <c:w val="0.855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'Pebble Mill'!$R$40</c:f>
              <c:strCache>
                <c:ptCount val="1"/>
                <c:pt idx="0">
                  <c:v>Length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0"/>
            <c:dispRSqr val="0"/>
          </c:trendline>
          <c:xVal>
            <c:numRef>
              <c:f>'Pebble Mill'!$Q$41:$Q$53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</c:numCache>
            </c:numRef>
          </c:xVal>
          <c:yVal>
            <c:numRef>
              <c:f>'Pebble Mill'!$R$41:$R$53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'Pebble Mill'!$W$40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'Pebble Mill'!$Q$41:$Q$53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</c:numCache>
            </c:numRef>
          </c:xVal>
          <c:yVal>
            <c:numRef>
              <c:f>'Pebble Mill'!$W$41:$W$53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'Pebble Mill'!$X$40</c:f>
              <c:strCache>
                <c:ptCount val="1"/>
                <c:pt idx="0">
                  <c:v>1.25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'Pebble Mill'!$Q$41:$Q$53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</c:numCache>
            </c:numRef>
          </c:xVal>
          <c:yVal>
            <c:numRef>
              <c:f>'Pebble Mill'!$X$41:$X$53</c:f>
              <c:numCache>
                <c:ptCount val="13"/>
                <c:pt idx="0">
                  <c:v>1.25</c:v>
                </c:pt>
                <c:pt idx="1">
                  <c:v>1.875</c:v>
                </c:pt>
                <c:pt idx="2">
                  <c:v>2.5</c:v>
                </c:pt>
                <c:pt idx="3">
                  <c:v>3.125</c:v>
                </c:pt>
                <c:pt idx="4">
                  <c:v>3.75</c:v>
                </c:pt>
                <c:pt idx="5">
                  <c:v>4.375</c:v>
                </c:pt>
                <c:pt idx="6">
                  <c:v>5</c:v>
                </c:pt>
                <c:pt idx="7">
                  <c:v>5.625</c:v>
                </c:pt>
                <c:pt idx="8">
                  <c:v>6.25</c:v>
                </c:pt>
                <c:pt idx="9">
                  <c:v>6.875</c:v>
                </c:pt>
                <c:pt idx="10">
                  <c:v>7.5</c:v>
                </c:pt>
                <c:pt idx="11">
                  <c:v>8.125</c:v>
                </c:pt>
                <c:pt idx="12">
                  <c:v>8.75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'Pebble Mill'!$Y$40</c:f>
              <c:strCache>
                <c:ptCount val="1"/>
                <c:pt idx="0">
                  <c:v>1.5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'Pebble Mill'!$Q$41:$Q$53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</c:numCache>
            </c:numRef>
          </c:xVal>
          <c:yVal>
            <c:numRef>
              <c:f>'Pebble Mill'!$Y$41:$Y$53</c:f>
              <c:numCache>
                <c:ptCount val="13"/>
                <c:pt idx="0">
                  <c:v>1.5</c:v>
                </c:pt>
                <c:pt idx="1">
                  <c:v>2.25</c:v>
                </c:pt>
                <c:pt idx="2">
                  <c:v>3</c:v>
                </c:pt>
                <c:pt idx="3">
                  <c:v>3.75</c:v>
                </c:pt>
                <c:pt idx="4">
                  <c:v>4.5</c:v>
                </c:pt>
                <c:pt idx="5">
                  <c:v>5.25</c:v>
                </c:pt>
                <c:pt idx="6">
                  <c:v>6</c:v>
                </c:pt>
                <c:pt idx="7">
                  <c:v>6.75</c:v>
                </c:pt>
                <c:pt idx="8">
                  <c:v>7.5</c:v>
                </c:pt>
                <c:pt idx="9">
                  <c:v>8.25</c:v>
                </c:pt>
                <c:pt idx="10">
                  <c:v>9</c:v>
                </c:pt>
                <c:pt idx="11">
                  <c:v>9.75</c:v>
                </c:pt>
                <c:pt idx="12">
                  <c:v>10.5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'Pebble Mill'!$V$40</c:f>
              <c:strCache>
                <c:ptCount val="1"/>
                <c:pt idx="0">
                  <c:v>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Typical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'Pebble Mill'!$U$41:$U$52</c:f>
              <c:numCache>
                <c:ptCount val="12"/>
                <c:pt idx="0">
                  <c:v>3.15</c:v>
                </c:pt>
                <c:pt idx="1">
                  <c:v>3.5</c:v>
                </c:pt>
                <c:pt idx="2">
                  <c:v>3.8</c:v>
                </c:pt>
                <c:pt idx="3">
                  <c:v>4.15</c:v>
                </c:pt>
                <c:pt idx="4">
                  <c:v>4.5</c:v>
                </c:pt>
                <c:pt idx="5">
                  <c:v>4.9</c:v>
                </c:pt>
                <c:pt idx="6">
                  <c:v>5.3</c:v>
                </c:pt>
                <c:pt idx="7">
                  <c:v>5.3</c:v>
                </c:pt>
                <c:pt idx="8">
                  <c:v>5.9</c:v>
                </c:pt>
                <c:pt idx="9">
                  <c:v>5.9</c:v>
                </c:pt>
                <c:pt idx="10">
                  <c:v>6.5</c:v>
                </c:pt>
                <c:pt idx="11">
                  <c:v>6.5</c:v>
                </c:pt>
              </c:numCache>
            </c:numRef>
          </c:xVal>
          <c:yVal>
            <c:numRef>
              <c:f>'Pebble Mill'!$V$41:$V$52</c:f>
              <c:numCache>
                <c:ptCount val="12"/>
                <c:pt idx="0">
                  <c:v>3.6</c:v>
                </c:pt>
                <c:pt idx="1">
                  <c:v>3.8</c:v>
                </c:pt>
                <c:pt idx="2">
                  <c:v>4.1</c:v>
                </c:pt>
                <c:pt idx="3">
                  <c:v>4.5</c:v>
                </c:pt>
                <c:pt idx="4">
                  <c:v>4.8</c:v>
                </c:pt>
                <c:pt idx="5">
                  <c:v>5.2</c:v>
                </c:pt>
                <c:pt idx="6">
                  <c:v>5.6</c:v>
                </c:pt>
                <c:pt idx="7">
                  <c:v>7</c:v>
                </c:pt>
                <c:pt idx="8">
                  <c:v>6.2</c:v>
                </c:pt>
                <c:pt idx="9">
                  <c:v>8</c:v>
                </c:pt>
                <c:pt idx="10">
                  <c:v>7.5</c:v>
                </c:pt>
                <c:pt idx="11">
                  <c:v>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'Pebble Mill'!$T$40</c:f>
              <c:strCache>
                <c:ptCount val="1"/>
                <c:pt idx="0">
                  <c:v>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'Pebble Mill'!$S$41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'Pebble Mill'!$T$41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096269"/>
        <c:axId val="9866422"/>
      </c:scatterChart>
      <c:valAx>
        <c:axId val="1096269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Diameter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66422"/>
        <c:crosses val="autoZero"/>
        <c:crossBetween val="midCat"/>
        <c:dispUnits/>
      </c:valAx>
      <c:valAx>
        <c:axId val="9866422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 Length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6269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&amp;L&amp;"Arial Black,Bold"&amp;12KVAERNER METALS</oddHeader>
    <oddFooter>&amp;L&amp;A &amp;F 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&amp;L&amp;"Arial Black,Bold"&amp;12KVAERNER METALS</oddHeader>
    <oddFooter>&amp;L&amp;A &amp;F 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&amp;L&amp;"Arial Black,Bold"&amp;12KVAERNER METALS</oddHeader>
    <oddFooter>&amp;L&amp;A &amp;F 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&amp;L&amp;"Arial Black,Bold"&amp;12KVAERNER METALS</oddHeader>
    <oddFooter>&amp;L&amp;A &amp;F 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0.78675</cdr:x>
      <cdr:y>0.08675</cdr:y>
    </cdr:from>
    <cdr:to>
      <cdr:x>0.842</cdr:x>
      <cdr:y>0.11</cdr:y>
    </cdr:to>
    <cdr:sp>
      <cdr:nvSpPr>
        <cdr:cNvPr id="1" name="Text 2"/>
        <cdr:cNvSpPr txBox="1">
          <a:spLocks noChangeArrowheads="1"/>
        </cdr:cNvSpPr>
      </cdr:nvSpPr>
      <cdr:spPr>
        <a:xfrm>
          <a:off x="9439275" y="638175"/>
          <a:ext cx="6667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Aspect Ratio</a:t>
          </a:r>
        </a:p>
      </cdr:txBody>
    </cdr:sp>
  </cdr:relSizeAnchor>
  <cdr:relSizeAnchor xmlns:cdr="http://schemas.openxmlformats.org/drawingml/2006/chartDrawing">
    <cdr:from>
      <cdr:x>0.6295</cdr:x>
      <cdr:y>0.07325</cdr:y>
    </cdr:from>
    <cdr:to>
      <cdr:x>0.647</cdr:x>
      <cdr:y>0.0965</cdr:y>
    </cdr:to>
    <cdr:sp>
      <cdr:nvSpPr>
        <cdr:cNvPr id="2" name="Text 3"/>
        <cdr:cNvSpPr txBox="1">
          <a:spLocks noChangeArrowheads="1"/>
        </cdr:cNvSpPr>
      </cdr:nvSpPr>
      <cdr:spPr>
        <a:xfrm>
          <a:off x="7553325" y="542925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0.74575</cdr:x>
      <cdr:y>0.09625</cdr:y>
    </cdr:from>
    <cdr:to>
      <cdr:x>0.76325</cdr:x>
      <cdr:y>0.1195</cdr:y>
    </cdr:to>
    <cdr:sp>
      <cdr:nvSpPr>
        <cdr:cNvPr id="3" name="Text 4"/>
        <cdr:cNvSpPr txBox="1">
          <a:spLocks noChangeArrowheads="1"/>
        </cdr:cNvSpPr>
      </cdr:nvSpPr>
      <cdr:spPr>
        <a:xfrm>
          <a:off x="8943975" y="714375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0.8</a:t>
          </a:r>
        </a:p>
      </cdr:txBody>
    </cdr:sp>
  </cdr:relSizeAnchor>
  <cdr:relSizeAnchor xmlns:cdr="http://schemas.openxmlformats.org/drawingml/2006/chartDrawing">
    <cdr:from>
      <cdr:x>0.752</cdr:x>
      <cdr:y>0.2725</cdr:y>
    </cdr:from>
    <cdr:to>
      <cdr:x>0.7695</cdr:x>
      <cdr:y>0.29575</cdr:y>
    </cdr:to>
    <cdr:sp>
      <cdr:nvSpPr>
        <cdr:cNvPr id="4" name="Text 5"/>
        <cdr:cNvSpPr txBox="1">
          <a:spLocks noChangeArrowheads="1"/>
        </cdr:cNvSpPr>
      </cdr:nvSpPr>
      <cdr:spPr>
        <a:xfrm>
          <a:off x="9020175" y="2028825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0.6</a:t>
          </a:r>
        </a:p>
      </cdr:txBody>
    </cdr:sp>
  </cdr:relSizeAnchor>
  <cdr:relSizeAnchor xmlns:cdr="http://schemas.openxmlformats.org/drawingml/2006/chartDrawing">
    <cdr:from>
      <cdr:x>0.752</cdr:x>
      <cdr:y>0.476</cdr:y>
    </cdr:from>
    <cdr:to>
      <cdr:x>0.7695</cdr:x>
      <cdr:y>0.49925</cdr:y>
    </cdr:to>
    <cdr:sp>
      <cdr:nvSpPr>
        <cdr:cNvPr id="5" name="Text 6"/>
        <cdr:cNvSpPr txBox="1">
          <a:spLocks noChangeArrowheads="1"/>
        </cdr:cNvSpPr>
      </cdr:nvSpPr>
      <cdr:spPr>
        <a:xfrm>
          <a:off x="9020175" y="3543300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0.4</a:t>
          </a:r>
        </a:p>
      </cdr:txBody>
    </cdr:sp>
  </cdr:relSizeAnchor>
  <cdr:relSizeAnchor xmlns:cdr="http://schemas.openxmlformats.org/drawingml/2006/chartDrawing">
    <cdr:from>
      <cdr:x>0.75625</cdr:x>
      <cdr:y>0.71525</cdr:y>
    </cdr:from>
    <cdr:to>
      <cdr:x>0.84275</cdr:x>
      <cdr:y>0.741</cdr:y>
    </cdr:to>
    <cdr:sp>
      <cdr:nvSpPr>
        <cdr:cNvPr id="6" name="Text 7"/>
        <cdr:cNvSpPr txBox="1">
          <a:spLocks noChangeArrowheads="1"/>
        </cdr:cNvSpPr>
      </cdr:nvSpPr>
      <cdr:spPr>
        <a:xfrm>
          <a:off x="9067800" y="5334000"/>
          <a:ext cx="10382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Fully Autogenous</a:t>
          </a:r>
        </a:p>
      </cdr:txBody>
    </cdr:sp>
  </cdr:relSizeAnchor>
  <cdr:relSizeAnchor xmlns:cdr="http://schemas.openxmlformats.org/drawingml/2006/chartDrawing">
    <cdr:from>
      <cdr:x>0.75625</cdr:x>
      <cdr:y>0.77475</cdr:y>
    </cdr:from>
    <cdr:to>
      <cdr:x>0.84425</cdr:x>
      <cdr:y>0.8225</cdr:y>
    </cdr:to>
    <cdr:sp>
      <cdr:nvSpPr>
        <cdr:cNvPr id="7" name="Text 8"/>
        <cdr:cNvSpPr txBox="1">
          <a:spLocks noChangeArrowheads="1"/>
        </cdr:cNvSpPr>
      </cdr:nvSpPr>
      <cdr:spPr>
        <a:xfrm>
          <a:off x="9067800" y="5772150"/>
          <a:ext cx="10572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Semi Autogenous
12% Ball Charge </a:t>
          </a:r>
        </a:p>
      </cdr:txBody>
    </cdr:sp>
  </cdr:relSizeAnchor>
  <cdr:relSizeAnchor xmlns:cdr="http://schemas.openxmlformats.org/drawingml/2006/chartDrawing">
    <cdr:from>
      <cdr:x>0.265</cdr:x>
      <cdr:y>0.06925</cdr:y>
    </cdr:from>
    <cdr:to>
      <cdr:x>0.41775</cdr:x>
      <cdr:y>0.0925</cdr:y>
    </cdr:to>
    <cdr:sp>
      <cdr:nvSpPr>
        <cdr:cNvPr id="8" name="Text 9"/>
        <cdr:cNvSpPr txBox="1">
          <a:spLocks noChangeArrowheads="1"/>
        </cdr:cNvSpPr>
      </cdr:nvSpPr>
      <cdr:spPr>
        <a:xfrm>
          <a:off x="3171825" y="514350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Design Line for Required Power Draw</a:t>
          </a:r>
        </a:p>
      </cdr:txBody>
    </cdr:sp>
  </cdr:relSizeAnchor>
  <cdr:relSizeAnchor xmlns:cdr="http://schemas.openxmlformats.org/drawingml/2006/chartDrawing">
    <cdr:from>
      <cdr:x>0.01575</cdr:x>
      <cdr:y>0.0165</cdr:y>
    </cdr:from>
    <cdr:to>
      <cdr:x>0.30225</cdr:x>
      <cdr:y>0.05325</cdr:y>
    </cdr:to>
    <cdr:sp textlink="'Autogenous Mill'!$D$2">
      <cdr:nvSpPr>
        <cdr:cNvPr id="9" name="Text 11"/>
        <cdr:cNvSpPr txBox="1">
          <a:spLocks noChangeArrowheads="1"/>
        </cdr:cNvSpPr>
      </cdr:nvSpPr>
      <cdr:spPr>
        <a:xfrm>
          <a:off x="180975" y="114300"/>
          <a:ext cx="3438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7242be5-257d-4db0-ad05-c80d2c7cb54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0.8325</cdr:x>
      <cdr:y>0.4545</cdr:y>
    </cdr:from>
    <cdr:to>
      <cdr:x>0.83525</cdr:x>
      <cdr:y>0.468</cdr:y>
    </cdr:to>
    <cdr:sp>
      <cdr:nvSpPr>
        <cdr:cNvPr id="10" name="Rectangle 12"/>
        <cdr:cNvSpPr>
          <a:spLocks/>
        </cdr:cNvSpPr>
      </cdr:nvSpPr>
      <cdr:spPr>
        <a:xfrm>
          <a:off x="9982200" y="33813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0.44625</cdr:y>
    </cdr:from>
    <cdr:to>
      <cdr:x>0.88475</cdr:x>
      <cdr:y>0.472</cdr:y>
    </cdr:to>
    <cdr:sp>
      <cdr:nvSpPr>
        <cdr:cNvPr id="11" name="Text 13"/>
        <cdr:cNvSpPr txBox="1">
          <a:spLocks noChangeArrowheads="1"/>
        </cdr:cNvSpPr>
      </cdr:nvSpPr>
      <cdr:spPr>
        <a:xfrm>
          <a:off x="10163175" y="33242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</a:t>
          </a:r>
        </a:p>
      </cdr:txBody>
    </cdr:sp>
  </cdr:relSizeAnchor>
  <cdr:relSizeAnchor xmlns:cdr="http://schemas.openxmlformats.org/drawingml/2006/chartDrawing">
    <cdr:from>
      <cdr:x>0.0675</cdr:x>
      <cdr:y>0.26925</cdr:y>
    </cdr:from>
    <cdr:to>
      <cdr:x>0.18025</cdr:x>
      <cdr:y>0.295</cdr:y>
    </cdr:to>
    <cdr:sp>
      <cdr:nvSpPr>
        <cdr:cNvPr id="12" name="Text 14"/>
        <cdr:cNvSpPr txBox="1">
          <a:spLocks noChangeArrowheads="1"/>
        </cdr:cNvSpPr>
      </cdr:nvSpPr>
      <cdr:spPr>
        <a:xfrm>
          <a:off x="809625" y="2000250"/>
          <a:ext cx="1352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Insufficient Power Draw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</cdr:x>
      <cdr:y>0.0745</cdr:y>
    </cdr:from>
    <cdr:to>
      <cdr:x>0.9045</cdr:x>
      <cdr:y>0.10025</cdr:y>
    </cdr:to>
    <cdr:sp>
      <cdr:nvSpPr>
        <cdr:cNvPr id="1" name="Text 1"/>
        <cdr:cNvSpPr txBox="1">
          <a:spLocks noChangeArrowheads="1"/>
        </cdr:cNvSpPr>
      </cdr:nvSpPr>
      <cdr:spPr>
        <a:xfrm>
          <a:off x="10067925" y="552450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Aspect Ratio</a:t>
          </a:r>
        </a:p>
      </cdr:txBody>
    </cdr:sp>
  </cdr:relSizeAnchor>
  <cdr:relSizeAnchor xmlns:cdr="http://schemas.openxmlformats.org/drawingml/2006/chartDrawing">
    <cdr:from>
      <cdr:x>0.778</cdr:x>
      <cdr:y>0.39775</cdr:y>
    </cdr:from>
    <cdr:to>
      <cdr:x>0.78925</cdr:x>
      <cdr:y>0.4235</cdr:y>
    </cdr:to>
    <cdr:sp>
      <cdr:nvSpPr>
        <cdr:cNvPr id="2" name="Text 2"/>
        <cdr:cNvSpPr txBox="1">
          <a:spLocks noChangeArrowheads="1"/>
        </cdr:cNvSpPr>
      </cdr:nvSpPr>
      <cdr:spPr>
        <a:xfrm>
          <a:off x="9334500" y="296227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0.77175</cdr:x>
      <cdr:y>0.20675</cdr:y>
    </cdr:from>
    <cdr:to>
      <cdr:x>0.79725</cdr:x>
      <cdr:y>0.2325</cdr:y>
    </cdr:to>
    <cdr:sp>
      <cdr:nvSpPr>
        <cdr:cNvPr id="3" name="Text 3"/>
        <cdr:cNvSpPr txBox="1">
          <a:spLocks noChangeArrowheads="1"/>
        </cdr:cNvSpPr>
      </cdr:nvSpPr>
      <cdr:spPr>
        <a:xfrm>
          <a:off x="9258300" y="15335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1.25</a:t>
          </a:r>
        </a:p>
      </cdr:txBody>
    </cdr:sp>
  </cdr:relSizeAnchor>
  <cdr:relSizeAnchor xmlns:cdr="http://schemas.openxmlformats.org/drawingml/2006/chartDrawing">
    <cdr:from>
      <cdr:x>0.77175</cdr:x>
      <cdr:y>0.07225</cdr:y>
    </cdr:from>
    <cdr:to>
      <cdr:x>0.79175</cdr:x>
      <cdr:y>0.098</cdr:y>
    </cdr:to>
    <cdr:sp>
      <cdr:nvSpPr>
        <cdr:cNvPr id="4" name="Text 4"/>
        <cdr:cNvSpPr txBox="1">
          <a:spLocks noChangeArrowheads="1"/>
        </cdr:cNvSpPr>
      </cdr:nvSpPr>
      <cdr:spPr>
        <a:xfrm>
          <a:off x="9258300" y="53340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1.5</a:t>
          </a:r>
        </a:p>
      </cdr:txBody>
    </cdr:sp>
  </cdr:relSizeAnchor>
  <cdr:relSizeAnchor xmlns:cdr="http://schemas.openxmlformats.org/drawingml/2006/chartDrawing">
    <cdr:from>
      <cdr:x>0.26575</cdr:x>
      <cdr:y>0.06775</cdr:y>
    </cdr:from>
    <cdr:to>
      <cdr:x>0.4425</cdr:x>
      <cdr:y>0.0935</cdr:y>
    </cdr:to>
    <cdr:sp>
      <cdr:nvSpPr>
        <cdr:cNvPr id="5" name="Text 5"/>
        <cdr:cNvSpPr txBox="1">
          <a:spLocks noChangeArrowheads="1"/>
        </cdr:cNvSpPr>
      </cdr:nvSpPr>
      <cdr:spPr>
        <a:xfrm>
          <a:off x="3181350" y="504825"/>
          <a:ext cx="2124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 Line for Required Power Draw</a:t>
          </a:r>
        </a:p>
      </cdr:txBody>
    </cdr:sp>
  </cdr:relSizeAnchor>
  <cdr:relSizeAnchor xmlns:cdr="http://schemas.openxmlformats.org/drawingml/2006/chartDrawing">
    <cdr:from>
      <cdr:x>0.111</cdr:x>
      <cdr:y>0.2625</cdr:y>
    </cdr:from>
    <cdr:to>
      <cdr:x>0.22375</cdr:x>
      <cdr:y>0.28825</cdr:y>
    </cdr:to>
    <cdr:sp>
      <cdr:nvSpPr>
        <cdr:cNvPr id="6" name="Text 6"/>
        <cdr:cNvSpPr txBox="1">
          <a:spLocks noChangeArrowheads="1"/>
        </cdr:cNvSpPr>
      </cdr:nvSpPr>
      <cdr:spPr>
        <a:xfrm>
          <a:off x="1323975" y="1952625"/>
          <a:ext cx="1352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Insufficient Power Draw</a:t>
          </a:r>
        </a:p>
      </cdr:txBody>
    </cdr:sp>
  </cdr:relSizeAnchor>
  <cdr:relSizeAnchor xmlns:cdr="http://schemas.openxmlformats.org/drawingml/2006/chartDrawing">
    <cdr:from>
      <cdr:x>0.00175</cdr:x>
      <cdr:y>0.01325</cdr:y>
    </cdr:from>
    <cdr:to>
      <cdr:x>0.00825</cdr:x>
      <cdr:y>0.0405</cdr:y>
    </cdr:to>
    <cdr:sp textlink="'Rodmill '!$A$3">
      <cdr:nvSpPr>
        <cdr:cNvPr id="7" name="Text 7"/>
        <cdr:cNvSpPr txBox="1">
          <a:spLocks noChangeArrowheads="1"/>
        </cdr:cNvSpPr>
      </cdr:nvSpPr>
      <cdr:spPr>
        <a:xfrm>
          <a:off x="19050" y="952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559cd143-8004-46b4-9877-2e2af867d50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0.841</cdr:x>
      <cdr:y>0.60075</cdr:y>
    </cdr:from>
    <cdr:to>
      <cdr:x>0.84425</cdr:x>
      <cdr:y>0.6255</cdr:y>
    </cdr:to>
    <cdr:sp>
      <cdr:nvSpPr>
        <cdr:cNvPr id="8" name="Rectangle 8"/>
        <cdr:cNvSpPr>
          <a:spLocks/>
        </cdr:cNvSpPr>
      </cdr:nvSpPr>
      <cdr:spPr>
        <a:xfrm>
          <a:off x="10086975" y="4476750"/>
          <a:ext cx="38100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</cdr:x>
      <cdr:y>0.59525</cdr:y>
    </cdr:from>
    <cdr:to>
      <cdr:x>0.8945</cdr:x>
      <cdr:y>0.621</cdr:y>
    </cdr:to>
    <cdr:sp>
      <cdr:nvSpPr>
        <cdr:cNvPr id="9" name="Text 9"/>
        <cdr:cNvSpPr txBox="1">
          <a:spLocks noChangeArrowheads="1"/>
        </cdr:cNvSpPr>
      </cdr:nvSpPr>
      <cdr:spPr>
        <a:xfrm>
          <a:off x="10277475" y="44386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esign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0.0655</cdr:y>
    </cdr:from>
    <cdr:to>
      <cdr:x>0.38025</cdr:x>
      <cdr:y>0.09125</cdr:y>
    </cdr:to>
    <cdr:sp>
      <cdr:nvSpPr>
        <cdr:cNvPr id="1" name="Text 1"/>
        <cdr:cNvSpPr txBox="1">
          <a:spLocks noChangeArrowheads="1"/>
        </cdr:cNvSpPr>
      </cdr:nvSpPr>
      <cdr:spPr>
        <a:xfrm>
          <a:off x="1752600" y="485775"/>
          <a:ext cx="2800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 Line for Power Draw - Grate mill - O/F Mill</a:t>
          </a:r>
        </a:p>
      </cdr:txBody>
    </cdr:sp>
  </cdr:relSizeAnchor>
  <cdr:relSizeAnchor xmlns:cdr="http://schemas.openxmlformats.org/drawingml/2006/chartDrawing">
    <cdr:from>
      <cdr:x>0.00125</cdr:x>
      <cdr:y>0.01175</cdr:y>
    </cdr:from>
    <cdr:to>
      <cdr:x>0.00775</cdr:x>
      <cdr:y>0.039</cdr:y>
    </cdr:to>
    <cdr:sp textlink="Ballmill!$A$3">
      <cdr:nvSpPr>
        <cdr:cNvPr id="2" name="Text 2"/>
        <cdr:cNvSpPr txBox="1">
          <a:spLocks noChangeArrowheads="1"/>
        </cdr:cNvSpPr>
      </cdr:nvSpPr>
      <cdr:spPr>
        <a:xfrm>
          <a:off x="9525" y="857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58021249-e24f-4bd0-82a5-17e657e6b75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0.7285</cdr:x>
      <cdr:y>0.0685</cdr:y>
    </cdr:from>
    <cdr:to>
      <cdr:x>0.794</cdr:x>
      <cdr:y>0.09425</cdr:y>
    </cdr:to>
    <cdr:sp>
      <cdr:nvSpPr>
        <cdr:cNvPr id="3" name="Text 3"/>
        <cdr:cNvSpPr txBox="1">
          <a:spLocks noChangeArrowheads="1"/>
        </cdr:cNvSpPr>
      </cdr:nvSpPr>
      <cdr:spPr>
        <a:xfrm>
          <a:off x="8734425" y="504825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Aspect Ratio</a:t>
          </a:r>
        </a:p>
      </cdr:txBody>
    </cdr:sp>
  </cdr:relSizeAnchor>
  <cdr:relSizeAnchor xmlns:cdr="http://schemas.openxmlformats.org/drawingml/2006/chartDrawing">
    <cdr:from>
      <cdr:x>0.7225</cdr:x>
      <cdr:y>0.4795</cdr:y>
    </cdr:from>
    <cdr:to>
      <cdr:x>0.73375</cdr:x>
      <cdr:y>0.50525</cdr:y>
    </cdr:to>
    <cdr:sp>
      <cdr:nvSpPr>
        <cdr:cNvPr id="4" name="Text 4"/>
        <cdr:cNvSpPr txBox="1">
          <a:spLocks noChangeArrowheads="1"/>
        </cdr:cNvSpPr>
      </cdr:nvSpPr>
      <cdr:spPr>
        <a:xfrm>
          <a:off x="8667750" y="357187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0.71275</cdr:x>
      <cdr:y>0.32625</cdr:y>
    </cdr:from>
    <cdr:to>
      <cdr:x>0.73825</cdr:x>
      <cdr:y>0.352</cdr:y>
    </cdr:to>
    <cdr:sp>
      <cdr:nvSpPr>
        <cdr:cNvPr id="5" name="Text 5"/>
        <cdr:cNvSpPr txBox="1">
          <a:spLocks noChangeArrowheads="1"/>
        </cdr:cNvSpPr>
      </cdr:nvSpPr>
      <cdr:spPr>
        <a:xfrm>
          <a:off x="8553450" y="242887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1.25</a:t>
          </a:r>
        </a:p>
      </cdr:txBody>
    </cdr:sp>
  </cdr:relSizeAnchor>
  <cdr:relSizeAnchor xmlns:cdr="http://schemas.openxmlformats.org/drawingml/2006/chartDrawing">
    <cdr:from>
      <cdr:x>0.71625</cdr:x>
      <cdr:y>0.1515</cdr:y>
    </cdr:from>
    <cdr:to>
      <cdr:x>0.73625</cdr:x>
      <cdr:y>0.17725</cdr:y>
    </cdr:to>
    <cdr:sp>
      <cdr:nvSpPr>
        <cdr:cNvPr id="6" name="Text 6"/>
        <cdr:cNvSpPr txBox="1">
          <a:spLocks noChangeArrowheads="1"/>
        </cdr:cNvSpPr>
      </cdr:nvSpPr>
      <cdr:spPr>
        <a:xfrm>
          <a:off x="8591550" y="11239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1.5</a:t>
          </a:r>
        </a:p>
      </cdr:txBody>
    </cdr:sp>
  </cdr:relSizeAnchor>
  <cdr:relSizeAnchor xmlns:cdr="http://schemas.openxmlformats.org/drawingml/2006/chartDrawing">
    <cdr:from>
      <cdr:x>0.7785</cdr:x>
      <cdr:y>0.70925</cdr:y>
    </cdr:from>
    <cdr:to>
      <cdr:x>0.78575</cdr:x>
      <cdr:y>0.7245</cdr:y>
    </cdr:to>
    <cdr:sp>
      <cdr:nvSpPr>
        <cdr:cNvPr id="7" name="Rectangle 8"/>
        <cdr:cNvSpPr>
          <a:spLocks/>
        </cdr:cNvSpPr>
      </cdr:nvSpPr>
      <cdr:spPr>
        <a:xfrm>
          <a:off x="9334500" y="5286375"/>
          <a:ext cx="857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</cdr:x>
      <cdr:y>0.70625</cdr:y>
    </cdr:from>
    <cdr:to>
      <cdr:x>0.8355</cdr:x>
      <cdr:y>0.732</cdr:y>
    </cdr:to>
    <cdr:sp>
      <cdr:nvSpPr>
        <cdr:cNvPr id="8" name="Text 9"/>
        <cdr:cNvSpPr txBox="1">
          <a:spLocks noChangeArrowheads="1"/>
        </cdr:cNvSpPr>
      </cdr:nvSpPr>
      <cdr:spPr>
        <a:xfrm>
          <a:off x="9572625" y="52578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</a:t>
          </a:r>
        </a:p>
      </cdr:txBody>
    </cdr:sp>
  </cdr:relSizeAnchor>
  <cdr:relSizeAnchor xmlns:cdr="http://schemas.openxmlformats.org/drawingml/2006/chartDrawing">
    <cdr:from>
      <cdr:x>0.07125</cdr:x>
      <cdr:y>0.36925</cdr:y>
    </cdr:from>
    <cdr:to>
      <cdr:x>0.184</cdr:x>
      <cdr:y>0.395</cdr:y>
    </cdr:to>
    <cdr:sp>
      <cdr:nvSpPr>
        <cdr:cNvPr id="9" name="Text 10"/>
        <cdr:cNvSpPr txBox="1">
          <a:spLocks noChangeArrowheads="1"/>
        </cdr:cNvSpPr>
      </cdr:nvSpPr>
      <cdr:spPr>
        <a:xfrm>
          <a:off x="847725" y="2752725"/>
          <a:ext cx="1352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Insufficient Power Draw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0.72075</cdr:y>
    </cdr:from>
    <cdr:to>
      <cdr:x>0.91425</cdr:x>
      <cdr:y>0.752</cdr:y>
    </cdr:to>
    <cdr:sp>
      <cdr:nvSpPr>
        <cdr:cNvPr id="1" name="Rectangle 1"/>
        <cdr:cNvSpPr>
          <a:spLocks/>
        </cdr:cNvSpPr>
      </cdr:nvSpPr>
      <cdr:spPr>
        <a:xfrm>
          <a:off x="10868025" y="5372100"/>
          <a:ext cx="95250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0.73025</cdr:y>
    </cdr:from>
    <cdr:to>
      <cdr:x>0.96025</cdr:x>
      <cdr:y>0.756</cdr:y>
    </cdr:to>
    <cdr:sp>
      <cdr:nvSpPr>
        <cdr:cNvPr id="2" name="Text 2"/>
        <cdr:cNvSpPr txBox="1">
          <a:spLocks noChangeArrowheads="1"/>
        </cdr:cNvSpPr>
      </cdr:nvSpPr>
      <cdr:spPr>
        <a:xfrm>
          <a:off x="11068050" y="54387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</a:t>
          </a:r>
        </a:p>
      </cdr:txBody>
    </cdr:sp>
  </cdr:relSizeAnchor>
  <cdr:relSizeAnchor xmlns:cdr="http://schemas.openxmlformats.org/drawingml/2006/chartDrawing">
    <cdr:from>
      <cdr:x>0.2825</cdr:x>
      <cdr:y>0.06775</cdr:y>
    </cdr:from>
    <cdr:to>
      <cdr:x>0.45925</cdr:x>
      <cdr:y>0.0935</cdr:y>
    </cdr:to>
    <cdr:sp>
      <cdr:nvSpPr>
        <cdr:cNvPr id="3" name="Text 3"/>
        <cdr:cNvSpPr txBox="1">
          <a:spLocks noChangeArrowheads="1"/>
        </cdr:cNvSpPr>
      </cdr:nvSpPr>
      <cdr:spPr>
        <a:xfrm>
          <a:off x="3381375" y="504825"/>
          <a:ext cx="2124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Design Line for Required Power Draw</a:t>
          </a:r>
        </a:p>
      </cdr:txBody>
    </cdr:sp>
  </cdr:relSizeAnchor>
  <cdr:relSizeAnchor xmlns:cdr="http://schemas.openxmlformats.org/drawingml/2006/chartDrawing">
    <cdr:from>
      <cdr:x>0.88325</cdr:x>
      <cdr:y>0.07125</cdr:y>
    </cdr:from>
    <cdr:to>
      <cdr:x>0.94875</cdr:x>
      <cdr:y>0.097</cdr:y>
    </cdr:to>
    <cdr:sp>
      <cdr:nvSpPr>
        <cdr:cNvPr id="4" name="Text 4"/>
        <cdr:cNvSpPr txBox="1">
          <a:spLocks noChangeArrowheads="1"/>
        </cdr:cNvSpPr>
      </cdr:nvSpPr>
      <cdr:spPr>
        <a:xfrm>
          <a:off x="10591800" y="523875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Aspect Ratio</a:t>
          </a:r>
        </a:p>
      </cdr:txBody>
    </cdr:sp>
  </cdr:relSizeAnchor>
  <cdr:relSizeAnchor xmlns:cdr="http://schemas.openxmlformats.org/drawingml/2006/chartDrawing">
    <cdr:from>
      <cdr:x>0.8855</cdr:x>
      <cdr:y>0.4505</cdr:y>
    </cdr:from>
    <cdr:to>
      <cdr:x>0.89675</cdr:x>
      <cdr:y>0.47625</cdr:y>
    </cdr:to>
    <cdr:sp>
      <cdr:nvSpPr>
        <cdr:cNvPr id="5" name="Text 5"/>
        <cdr:cNvSpPr txBox="1">
          <a:spLocks noChangeArrowheads="1"/>
        </cdr:cNvSpPr>
      </cdr:nvSpPr>
      <cdr:spPr>
        <a:xfrm>
          <a:off x="10620375" y="335280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0.88325</cdr:x>
      <cdr:y>0.31225</cdr:y>
    </cdr:from>
    <cdr:to>
      <cdr:x>0.90875</cdr:x>
      <cdr:y>0.338</cdr:y>
    </cdr:to>
    <cdr:sp>
      <cdr:nvSpPr>
        <cdr:cNvPr id="6" name="Text 6"/>
        <cdr:cNvSpPr txBox="1">
          <a:spLocks noChangeArrowheads="1"/>
        </cdr:cNvSpPr>
      </cdr:nvSpPr>
      <cdr:spPr>
        <a:xfrm>
          <a:off x="10591800" y="232410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1.25</a:t>
          </a:r>
        </a:p>
      </cdr:txBody>
    </cdr:sp>
  </cdr:relSizeAnchor>
  <cdr:relSizeAnchor xmlns:cdr="http://schemas.openxmlformats.org/drawingml/2006/chartDrawing">
    <cdr:from>
      <cdr:x>0.8855</cdr:x>
      <cdr:y>0.1715</cdr:y>
    </cdr:from>
    <cdr:to>
      <cdr:x>0.9055</cdr:x>
      <cdr:y>0.19725</cdr:y>
    </cdr:to>
    <cdr:sp>
      <cdr:nvSpPr>
        <cdr:cNvPr id="7" name="Text 7"/>
        <cdr:cNvSpPr txBox="1">
          <a:spLocks noChangeArrowheads="1"/>
        </cdr:cNvSpPr>
      </cdr:nvSpPr>
      <cdr:spPr>
        <a:xfrm>
          <a:off x="10620375" y="12763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1.5</a:t>
          </a:r>
        </a:p>
      </cdr:txBody>
    </cdr:sp>
  </cdr:relSizeAnchor>
  <cdr:relSizeAnchor xmlns:cdr="http://schemas.openxmlformats.org/drawingml/2006/chartDrawing">
    <cdr:from>
      <cdr:x>0.077</cdr:x>
      <cdr:y>0.504</cdr:y>
    </cdr:from>
    <cdr:to>
      <cdr:x>0.18975</cdr:x>
      <cdr:y>0.52975</cdr:y>
    </cdr:to>
    <cdr:sp>
      <cdr:nvSpPr>
        <cdr:cNvPr id="8" name="Text 8"/>
        <cdr:cNvSpPr txBox="1">
          <a:spLocks noChangeArrowheads="1"/>
        </cdr:cNvSpPr>
      </cdr:nvSpPr>
      <cdr:spPr>
        <a:xfrm>
          <a:off x="923925" y="3752850"/>
          <a:ext cx="1352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Insufficient Power Draw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10"/>
  <sheetViews>
    <sheetView workbookViewId="0" topLeftCell="A1">
      <selection activeCell="D10" sqref="D10"/>
    </sheetView>
  </sheetViews>
  <sheetFormatPr defaultColWidth="9.140625" defaultRowHeight="12.75"/>
  <cols>
    <col min="3" max="3" width="10.140625" style="0" bestFit="1" customWidth="1"/>
  </cols>
  <sheetData>
    <row r="7" spans="2:4" ht="12.75">
      <c r="B7" t="s">
        <v>461</v>
      </c>
      <c r="C7" s="545">
        <v>39099</v>
      </c>
      <c r="D7" t="s">
        <v>462</v>
      </c>
    </row>
    <row r="8" spans="2:4" ht="12.75">
      <c r="B8" t="s">
        <v>463</v>
      </c>
      <c r="C8" s="545">
        <v>39399</v>
      </c>
      <c r="D8" t="s">
        <v>464</v>
      </c>
    </row>
    <row r="9" spans="2:4" ht="12.75">
      <c r="B9" t="s">
        <v>465</v>
      </c>
      <c r="C9" s="545">
        <v>39449</v>
      </c>
      <c r="D9" t="s">
        <v>466</v>
      </c>
    </row>
    <row r="10" spans="2:4" ht="12.75">
      <c r="B10" t="s">
        <v>478</v>
      </c>
      <c r="C10" s="545">
        <v>39890</v>
      </c>
      <c r="D10" t="s">
        <v>479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58"/>
  <sheetViews>
    <sheetView showZeros="0" tabSelected="1" zoomScale="75" zoomScaleNormal="75" workbookViewId="0" topLeftCell="A1">
      <selection activeCell="H27" sqref="H27"/>
    </sheetView>
  </sheetViews>
  <sheetFormatPr defaultColWidth="9.140625" defaultRowHeight="12.75"/>
  <cols>
    <col min="1" max="1" width="30.00390625" style="0" customWidth="1"/>
    <col min="2" max="2" width="7.7109375" style="0" customWidth="1"/>
    <col min="3" max="3" width="9.8515625" style="0" customWidth="1"/>
    <col min="4" max="4" width="15.7109375" style="0" customWidth="1"/>
    <col min="5" max="5" width="8.7109375" style="0" customWidth="1"/>
    <col min="6" max="6" width="10.00390625" style="0" customWidth="1"/>
    <col min="14" max="14" width="10.421875" style="0" customWidth="1"/>
    <col min="24" max="24" width="20.8515625" style="0" customWidth="1"/>
  </cols>
  <sheetData>
    <row r="1" spans="1:53" ht="15" customHeight="1" thickBot="1" thickTop="1">
      <c r="A1" s="241" t="s">
        <v>0</v>
      </c>
      <c r="B1" s="478"/>
      <c r="C1" s="476"/>
      <c r="D1" s="477"/>
      <c r="E1" s="568" t="s">
        <v>1</v>
      </c>
      <c r="F1" s="430"/>
      <c r="O1" s="4"/>
      <c r="P1" s="4"/>
      <c r="Q1" s="2"/>
      <c r="AD1" s="361" t="s">
        <v>2</v>
      </c>
      <c r="AE1" s="362" t="s">
        <v>3</v>
      </c>
      <c r="AF1" s="363" t="s">
        <v>4</v>
      </c>
      <c r="AG1" s="363"/>
      <c r="AH1" s="344"/>
      <c r="AI1" s="344"/>
      <c r="AJ1" s="344"/>
      <c r="AK1" s="344"/>
      <c r="AL1" s="345"/>
      <c r="AP1" t="s">
        <v>5</v>
      </c>
      <c r="AQ1">
        <v>1</v>
      </c>
      <c r="AS1" s="232"/>
      <c r="AY1" t="s">
        <v>6</v>
      </c>
      <c r="AZ1" s="367" t="e">
        <f>HPGR!#REF!</f>
        <v>#REF!</v>
      </c>
      <c r="BA1" t="e">
        <f>AZ1/4</f>
        <v>#REF!</v>
      </c>
    </row>
    <row r="2" spans="1:57" ht="15" customHeight="1">
      <c r="A2" s="485" t="s">
        <v>7</v>
      </c>
      <c r="B2" s="486"/>
      <c r="C2" s="491" t="s">
        <v>8</v>
      </c>
      <c r="D2" s="529"/>
      <c r="E2" s="569"/>
      <c r="F2" s="492"/>
      <c r="J2" s="577" t="s">
        <v>5</v>
      </c>
      <c r="K2" s="574" t="s">
        <v>495</v>
      </c>
      <c r="L2" s="574" t="s">
        <v>317</v>
      </c>
      <c r="M2" s="574" t="s">
        <v>13</v>
      </c>
      <c r="N2" s="574" t="s">
        <v>496</v>
      </c>
      <c r="O2" s="574" t="s">
        <v>12</v>
      </c>
      <c r="P2" s="575" t="s">
        <v>497</v>
      </c>
      <c r="Q2" s="575" t="s">
        <v>498</v>
      </c>
      <c r="R2" s="576" t="s">
        <v>499</v>
      </c>
      <c r="S2" s="577" t="s">
        <v>239</v>
      </c>
      <c r="AD2" s="268" t="s">
        <v>6</v>
      </c>
      <c r="AE2" s="346" t="e">
        <f>#REF!</f>
        <v>#REF!</v>
      </c>
      <c r="AF2" s="5"/>
      <c r="AG2" s="5"/>
      <c r="AH2" s="5"/>
      <c r="AI2" s="5"/>
      <c r="AJ2" s="5"/>
      <c r="AK2" s="5"/>
      <c r="AL2" s="266"/>
      <c r="AP2" s="4" t="s">
        <v>11</v>
      </c>
      <c r="AQ2" s="4" t="s">
        <v>12</v>
      </c>
      <c r="AR2" t="s">
        <v>13</v>
      </c>
      <c r="AS2" s="232" t="s">
        <v>14</v>
      </c>
      <c r="AT2" t="s">
        <v>13</v>
      </c>
      <c r="AU2" t="s">
        <v>15</v>
      </c>
      <c r="AV2" t="s">
        <v>16</v>
      </c>
      <c r="AW2" t="s">
        <v>12</v>
      </c>
      <c r="AY2" t="s">
        <v>17</v>
      </c>
      <c r="AZ2" s="367" t="e">
        <f>HPGR!#REF!*100</f>
        <v>#REF!</v>
      </c>
      <c r="BA2" t="e">
        <f>AZ2/100</f>
        <v>#REF!</v>
      </c>
      <c r="BD2" s="4" t="s">
        <v>18</v>
      </c>
      <c r="BE2" s="4" t="s">
        <v>19</v>
      </c>
    </row>
    <row r="3" spans="1:57" ht="15" customHeight="1">
      <c r="A3" s="493"/>
      <c r="B3" s="495" t="s">
        <v>9</v>
      </c>
      <c r="C3" s="533"/>
      <c r="D3" s="480"/>
      <c r="E3" s="570" t="s">
        <v>10</v>
      </c>
      <c r="F3" s="237"/>
      <c r="H3" s="217"/>
      <c r="J3" s="588">
        <v>2.4</v>
      </c>
      <c r="K3" s="589">
        <v>1.7</v>
      </c>
      <c r="L3" s="590">
        <f>B34</f>
        <v>0</v>
      </c>
      <c r="M3" s="589"/>
      <c r="N3" s="591"/>
      <c r="O3" s="589"/>
      <c r="P3" s="592">
        <f>PI()*(J3^2)/4*K3*2*2*7.86</f>
        <v>241.79305557465688</v>
      </c>
      <c r="Q3" s="593">
        <f>P3*1/2.2</f>
        <v>109.90593435211676</v>
      </c>
      <c r="R3" s="594"/>
      <c r="S3" s="595" t="s">
        <v>505</v>
      </c>
      <c r="AD3" s="268" t="s">
        <v>22</v>
      </c>
      <c r="AE3" s="347">
        <v>0.4</v>
      </c>
      <c r="AF3" s="5" t="s">
        <v>23</v>
      </c>
      <c r="AG3" s="5"/>
      <c r="AH3" s="5"/>
      <c r="AI3" s="5"/>
      <c r="AJ3" s="5"/>
      <c r="AK3" s="5"/>
      <c r="AL3" s="266"/>
      <c r="AO3">
        <f aca="true" t="shared" si="0" ref="AO3:AO26">180*AP3/PI()</f>
        <v>5.729577951308232</v>
      </c>
      <c r="AP3">
        <v>0.1</v>
      </c>
      <c r="AQ3">
        <f aca="true" t="shared" si="1" ref="AQ3:AQ26">0.5*($AQ$1/2)^2*(AP3-SIN(AP3))</f>
        <v>2.082291914648135E-05</v>
      </c>
      <c r="AR3">
        <f aca="true" t="shared" si="2" ref="AR3:AR26">$AQ$1*(1-COS(AP3/2))/2</f>
        <v>0.0006248698025168586</v>
      </c>
      <c r="AS3" s="232" t="e">
        <f>$AQ3/#REF!</f>
        <v>#REF!</v>
      </c>
      <c r="AT3">
        <f aca="true" t="shared" si="3" ref="AT3:AT26">AR3/$AQ$1</f>
        <v>0.0006248698025168586</v>
      </c>
      <c r="AU3">
        <f aca="true" t="shared" si="4" ref="AU3:AU26">1-AT3</f>
        <v>0.9993751301974831</v>
      </c>
      <c r="AV3">
        <f aca="true" t="shared" si="5" ref="AV3:AV26">0.5-AT3</f>
        <v>0.49937513019748314</v>
      </c>
      <c r="AW3" s="232" t="e">
        <f>$AQ3/#REF!</f>
        <v>#REF!</v>
      </c>
      <c r="AY3" t="s">
        <v>24</v>
      </c>
      <c r="AZ3" s="367" t="e">
        <f>HPGR!#REF!</f>
        <v>#REF!</v>
      </c>
      <c r="BD3" t="e">
        <f>SUM(BD6:BD29)</f>
        <v>#REF!</v>
      </c>
      <c r="BE3" t="e">
        <f>SUM(BE6:BE29)</f>
        <v>#REF!</v>
      </c>
    </row>
    <row r="4" spans="1:57" ht="15" customHeight="1">
      <c r="A4" s="34"/>
      <c r="B4" s="496" t="s">
        <v>20</v>
      </c>
      <c r="C4" s="488"/>
      <c r="D4" s="481"/>
      <c r="E4" s="570" t="s">
        <v>21</v>
      </c>
      <c r="F4" s="238"/>
      <c r="I4" s="1"/>
      <c r="J4" s="1"/>
      <c r="K4" s="1"/>
      <c r="L4" s="1"/>
      <c r="M4" s="1"/>
      <c r="N4" s="1"/>
      <c r="O4" s="2"/>
      <c r="P4" s="2"/>
      <c r="Q4" s="2"/>
      <c r="AD4" s="268" t="s">
        <v>27</v>
      </c>
      <c r="AE4" s="348">
        <v>9.814</v>
      </c>
      <c r="AF4" s="5"/>
      <c r="AG4" s="5"/>
      <c r="AH4" s="5"/>
      <c r="AI4" s="5"/>
      <c r="AJ4" s="5"/>
      <c r="AK4" s="5"/>
      <c r="AL4" s="266"/>
      <c r="AO4">
        <f t="shared" si="0"/>
        <v>11.459155902616464</v>
      </c>
      <c r="AP4">
        <v>0.2</v>
      </c>
      <c r="AQ4">
        <f t="shared" si="1"/>
        <v>0.00016633365061734934</v>
      </c>
      <c r="AR4">
        <f t="shared" si="2"/>
        <v>0.0024979173609870897</v>
      </c>
      <c r="AS4" s="232" t="e">
        <f>AQ4/#REF!</f>
        <v>#REF!</v>
      </c>
      <c r="AT4">
        <f t="shared" si="3"/>
        <v>0.0024979173609870897</v>
      </c>
      <c r="AU4">
        <f t="shared" si="4"/>
        <v>0.9975020826390129</v>
      </c>
      <c r="AV4">
        <f t="shared" si="5"/>
        <v>0.4975020826390129</v>
      </c>
      <c r="AW4" s="232" t="e">
        <f>$AQ4/#REF!</f>
        <v>#REF!</v>
      </c>
      <c r="AY4" t="s">
        <v>16</v>
      </c>
      <c r="AZ4" t="e">
        <f>AZ1*(13.374*BA2^4-15.609*BA2^3+6.5673*BA2^2-2.0224*BA2+0.5)</f>
        <v>#REF!</v>
      </c>
      <c r="BE4" s="234" t="e">
        <f>BE3/BD3</f>
        <v>#REF!</v>
      </c>
    </row>
    <row r="5" spans="1:58" ht="13.5" thickBot="1">
      <c r="A5" s="60"/>
      <c r="B5" s="571" t="s">
        <v>25</v>
      </c>
      <c r="C5" s="479"/>
      <c r="D5" s="572"/>
      <c r="E5" s="573" t="s">
        <v>26</v>
      </c>
      <c r="F5" s="239"/>
      <c r="I5" s="1"/>
      <c r="J5" s="1"/>
      <c r="K5" s="1"/>
      <c r="L5" s="1"/>
      <c r="M5" s="1"/>
      <c r="N5" s="1"/>
      <c r="O5" s="2"/>
      <c r="P5" s="2"/>
      <c r="Q5" s="2"/>
      <c r="AD5" s="268" t="s">
        <v>28</v>
      </c>
      <c r="AE5" s="346" t="e">
        <f>#REF!</f>
        <v>#REF!</v>
      </c>
      <c r="AF5" s="5" t="s">
        <v>29</v>
      </c>
      <c r="AG5" s="5"/>
      <c r="AH5" s="5"/>
      <c r="AI5" s="5"/>
      <c r="AJ5" s="5"/>
      <c r="AK5" s="5"/>
      <c r="AL5" s="266"/>
      <c r="AO5">
        <f t="shared" si="0"/>
        <v>17.188733853924695</v>
      </c>
      <c r="AP5">
        <v>0.3</v>
      </c>
      <c r="AQ5">
        <f t="shared" si="1"/>
        <v>0.0005599741673325553</v>
      </c>
      <c r="AR5">
        <f t="shared" si="2"/>
        <v>0.005614461031978879</v>
      </c>
      <c r="AS5" s="232" t="e">
        <f>AQ5/#REF!</f>
        <v>#REF!</v>
      </c>
      <c r="AT5">
        <f t="shared" si="3"/>
        <v>0.005614461031978879</v>
      </c>
      <c r="AU5">
        <f t="shared" si="4"/>
        <v>0.9943855389680212</v>
      </c>
      <c r="AV5">
        <f t="shared" si="5"/>
        <v>0.4943855389680211</v>
      </c>
      <c r="AW5" s="232" t="e">
        <f>$AQ5/#REF!</f>
        <v>#REF!</v>
      </c>
      <c r="AZ5" t="s">
        <v>30</v>
      </c>
      <c r="BA5" t="s">
        <v>31</v>
      </c>
      <c r="BB5" t="s">
        <v>32</v>
      </c>
      <c r="BC5" t="s">
        <v>33</v>
      </c>
      <c r="BD5" t="s">
        <v>17</v>
      </c>
      <c r="BF5" t="s">
        <v>34</v>
      </c>
    </row>
    <row r="6" spans="1:59" ht="14.25" thickBot="1" thickTop="1">
      <c r="A6" s="102"/>
      <c r="B6" s="7"/>
      <c r="C6" s="7"/>
      <c r="D6" s="7"/>
      <c r="E6" s="7"/>
      <c r="F6" s="47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AD6" s="268" t="s">
        <v>35</v>
      </c>
      <c r="AE6" s="346" t="e">
        <f>#REF!</f>
        <v>#REF!</v>
      </c>
      <c r="AF6" s="5" t="s">
        <v>36</v>
      </c>
      <c r="AG6" s="5"/>
      <c r="AH6" s="5"/>
      <c r="AI6" s="5"/>
      <c r="AJ6" s="5"/>
      <c r="AK6" s="5"/>
      <c r="AL6" s="266"/>
      <c r="AO6">
        <f t="shared" si="0"/>
        <v>22.91831180523293</v>
      </c>
      <c r="AP6">
        <v>0.4</v>
      </c>
      <c r="AQ6">
        <f t="shared" si="1"/>
        <v>0.0013227072114186875</v>
      </c>
      <c r="AR6">
        <f t="shared" si="2"/>
        <v>0.009966711079379187</v>
      </c>
      <c r="AS6" s="232" t="e">
        <f>AQ6/#REF!</f>
        <v>#REF!</v>
      </c>
      <c r="AT6">
        <f t="shared" si="3"/>
        <v>0.009966711079379187</v>
      </c>
      <c r="AU6">
        <f t="shared" si="4"/>
        <v>0.9900332889206208</v>
      </c>
      <c r="AV6">
        <f t="shared" si="5"/>
        <v>0.4900332889206208</v>
      </c>
      <c r="AW6" s="232" t="e">
        <f>$AQ6/#REF!</f>
        <v>#REF!</v>
      </c>
      <c r="AY6">
        <v>1</v>
      </c>
      <c r="AZ6" t="e">
        <f aca="true" t="shared" si="6" ref="AZ6:AZ29">(AY6/100-0.005)/TAN($AZ$3*PI()/180)</f>
        <v>#REF!</v>
      </c>
      <c r="BA6" t="e">
        <f aca="true" t="shared" si="7" ref="BA6:BA29">$AZ$1-2*AZ6</f>
        <v>#REF!</v>
      </c>
      <c r="BB6" t="e">
        <f aca="true" t="shared" si="8" ref="BB6:BB29">IF($AZ$4/BA6&lt;0.5,$AZ$4/BA6,0.5)</f>
        <v>#REF!</v>
      </c>
      <c r="BC6" t="e">
        <f aca="true" t="shared" si="9" ref="BC6:BC29">IF(BF6+BG6=2,3.1316*BB6^4-1.453*BB6^3+0.5868*BB6^2-1.3257*BB6+0.5,0)</f>
        <v>#REF!</v>
      </c>
      <c r="BD6" t="e">
        <f aca="true" t="shared" si="10" ref="BD6:BD29">IF(BF6+BG6=2,(PI()*BA6^2/4),0)*0.01</f>
        <v>#REF!</v>
      </c>
      <c r="BE6" t="e">
        <f aca="true" t="shared" si="11" ref="BE6:BE29">BD6*BC6</f>
        <v>#REF!</v>
      </c>
      <c r="BF6">
        <v>1</v>
      </c>
      <c r="BG6" t="e">
        <f aca="true" t="shared" si="12" ref="BG6:BG29">IF(BB6=0.5,0,1)</f>
        <v>#REF!</v>
      </c>
    </row>
    <row r="7" spans="1:59" ht="21.75" thickBot="1" thickTop="1">
      <c r="A7" s="426" t="s">
        <v>490</v>
      </c>
      <c r="B7" s="427"/>
      <c r="C7" s="427"/>
      <c r="D7" s="427"/>
      <c r="E7" s="427"/>
      <c r="F7" s="428" t="s">
        <v>38</v>
      </c>
      <c r="G7" s="13"/>
      <c r="H7" s="1"/>
      <c r="I7" s="1"/>
      <c r="J7" s="1"/>
      <c r="K7" s="1"/>
      <c r="L7" s="1"/>
      <c r="M7" s="1"/>
      <c r="N7" s="1"/>
      <c r="O7" s="2"/>
      <c r="P7" s="2"/>
      <c r="Q7" s="2"/>
      <c r="AD7" s="268" t="s">
        <v>39</v>
      </c>
      <c r="AE7" s="347">
        <v>1.26</v>
      </c>
      <c r="AF7" s="5"/>
      <c r="AG7" s="5"/>
      <c r="AH7" s="5"/>
      <c r="AI7" s="5"/>
      <c r="AJ7" s="5"/>
      <c r="AK7" s="5"/>
      <c r="AL7" s="266"/>
      <c r="AO7">
        <f t="shared" si="0"/>
        <v>28.64788975654116</v>
      </c>
      <c r="AP7">
        <v>0.5</v>
      </c>
      <c r="AQ7">
        <f t="shared" si="1"/>
        <v>0.0025718076744746243</v>
      </c>
      <c r="AR7">
        <f t="shared" si="2"/>
        <v>0.015543789144677633</v>
      </c>
      <c r="AS7" s="232" t="e">
        <f>AQ7/#REF!</f>
        <v>#REF!</v>
      </c>
      <c r="AT7">
        <f t="shared" si="3"/>
        <v>0.015543789144677633</v>
      </c>
      <c r="AU7">
        <f t="shared" si="4"/>
        <v>0.9844562108553223</v>
      </c>
      <c r="AV7">
        <f t="shared" si="5"/>
        <v>0.48445621085532237</v>
      </c>
      <c r="AW7" s="232" t="e">
        <f>$AQ7/#REF!</f>
        <v>#REF!</v>
      </c>
      <c r="AY7" t="e">
        <f aca="true" t="shared" si="13" ref="AY7:AY29">IF(BA6-($AZ$1/4)&gt;0,AY6+1,AY6)</f>
        <v>#REF!</v>
      </c>
      <c r="AZ7" t="e">
        <f t="shared" si="6"/>
        <v>#REF!</v>
      </c>
      <c r="BA7" t="e">
        <f t="shared" si="7"/>
        <v>#REF!</v>
      </c>
      <c r="BB7" t="e">
        <f t="shared" si="8"/>
        <v>#REF!</v>
      </c>
      <c r="BC7" t="e">
        <f t="shared" si="9"/>
        <v>#REF!</v>
      </c>
      <c r="BD7" t="e">
        <f t="shared" si="10"/>
        <v>#REF!</v>
      </c>
      <c r="BE7" t="e">
        <f t="shared" si="11"/>
        <v>#REF!</v>
      </c>
      <c r="BF7" t="e">
        <f aca="true" t="shared" si="14" ref="BF7:BF29">AY7-AY6</f>
        <v>#REF!</v>
      </c>
      <c r="BG7" t="e">
        <f t="shared" si="12"/>
        <v>#REF!</v>
      </c>
    </row>
    <row r="8" spans="1:59" ht="12.75">
      <c r="A8" s="34"/>
      <c r="B8" s="5"/>
      <c r="C8" s="5"/>
      <c r="D8" s="9"/>
      <c r="E8" s="9"/>
      <c r="F8" s="246"/>
      <c r="G8" s="9"/>
      <c r="H8" s="2"/>
      <c r="K8" s="1"/>
      <c r="L8" s="1"/>
      <c r="M8" s="1"/>
      <c r="N8" s="1"/>
      <c r="O8" s="2"/>
      <c r="P8" s="2"/>
      <c r="Q8" s="2"/>
      <c r="AD8" s="268" t="s">
        <v>40</v>
      </c>
      <c r="AE8" s="346" t="e">
        <f>#REF!</f>
        <v>#REF!</v>
      </c>
      <c r="AF8" s="5"/>
      <c r="AG8" s="5"/>
      <c r="AH8" s="5"/>
      <c r="AI8" s="5"/>
      <c r="AJ8" s="5"/>
      <c r="AK8" s="5"/>
      <c r="AL8" s="266"/>
      <c r="AO8">
        <f t="shared" si="0"/>
        <v>34.37746770784939</v>
      </c>
      <c r="AP8">
        <v>0.6</v>
      </c>
      <c r="AQ8">
        <f t="shared" si="1"/>
        <v>0.004419690825620576</v>
      </c>
      <c r="AR8">
        <f t="shared" si="2"/>
        <v>0.02233175543719701</v>
      </c>
      <c r="AS8" s="232" t="e">
        <f>AQ8/#REF!</f>
        <v>#REF!</v>
      </c>
      <c r="AT8">
        <f t="shared" si="3"/>
        <v>0.02233175543719701</v>
      </c>
      <c r="AU8">
        <f t="shared" si="4"/>
        <v>0.977668244562803</v>
      </c>
      <c r="AV8">
        <f t="shared" si="5"/>
        <v>0.477668244562803</v>
      </c>
      <c r="AW8" s="232" t="e">
        <f>$AQ8/#REF!</f>
        <v>#REF!</v>
      </c>
      <c r="AY8" t="e">
        <f t="shared" si="13"/>
        <v>#REF!</v>
      </c>
      <c r="AZ8" t="e">
        <f t="shared" si="6"/>
        <v>#REF!</v>
      </c>
      <c r="BA8" t="e">
        <f t="shared" si="7"/>
        <v>#REF!</v>
      </c>
      <c r="BB8" t="e">
        <f t="shared" si="8"/>
        <v>#REF!</v>
      </c>
      <c r="BC8" t="e">
        <f t="shared" si="9"/>
        <v>#REF!</v>
      </c>
      <c r="BD8" t="e">
        <f t="shared" si="10"/>
        <v>#REF!</v>
      </c>
      <c r="BE8" t="e">
        <f t="shared" si="11"/>
        <v>#REF!</v>
      </c>
      <c r="BF8" t="e">
        <f t="shared" si="14"/>
        <v>#REF!</v>
      </c>
      <c r="BG8" t="e">
        <f t="shared" si="12"/>
        <v>#REF!</v>
      </c>
    </row>
    <row r="9" spans="1:59" ht="12.75">
      <c r="A9" s="35" t="s">
        <v>41</v>
      </c>
      <c r="B9" s="431"/>
      <c r="C9" s="129"/>
      <c r="D9" s="134"/>
      <c r="E9" s="125"/>
      <c r="F9" s="133"/>
      <c r="G9" s="12"/>
      <c r="H9" s="9"/>
      <c r="K9" s="1"/>
      <c r="L9" s="1"/>
      <c r="M9" s="1"/>
      <c r="N9" s="1"/>
      <c r="O9" s="2"/>
      <c r="P9" s="2"/>
      <c r="AD9" s="268" t="s">
        <v>43</v>
      </c>
      <c r="AE9" s="348"/>
      <c r="AF9" s="5"/>
      <c r="AG9" s="5"/>
      <c r="AH9" s="5"/>
      <c r="AI9" s="5"/>
      <c r="AJ9" s="5"/>
      <c r="AK9" s="5"/>
      <c r="AL9" s="266"/>
      <c r="AO9">
        <f t="shared" si="0"/>
        <v>40.10704565915762</v>
      </c>
      <c r="AP9">
        <v>0.7</v>
      </c>
      <c r="AQ9">
        <f t="shared" si="1"/>
        <v>0.006972789095288617</v>
      </c>
      <c r="AR9">
        <f t="shared" si="2"/>
        <v>0.030313643576310556</v>
      </c>
      <c r="AS9" s="232" t="e">
        <f>AQ9/#REF!</f>
        <v>#REF!</v>
      </c>
      <c r="AT9">
        <f t="shared" si="3"/>
        <v>0.030313643576310556</v>
      </c>
      <c r="AU9">
        <f t="shared" si="4"/>
        <v>0.9696863564236895</v>
      </c>
      <c r="AV9">
        <f t="shared" si="5"/>
        <v>0.46968635642368944</v>
      </c>
      <c r="AW9" s="232" t="e">
        <f>$AQ9/#REF!</f>
        <v>#REF!</v>
      </c>
      <c r="AY9" t="e">
        <f t="shared" si="13"/>
        <v>#REF!</v>
      </c>
      <c r="AZ9" t="e">
        <f t="shared" si="6"/>
        <v>#REF!</v>
      </c>
      <c r="BA9" t="e">
        <f t="shared" si="7"/>
        <v>#REF!</v>
      </c>
      <c r="BB9" t="e">
        <f t="shared" si="8"/>
        <v>#REF!</v>
      </c>
      <c r="BC9" t="e">
        <f t="shared" si="9"/>
        <v>#REF!</v>
      </c>
      <c r="BD9" t="e">
        <f t="shared" si="10"/>
        <v>#REF!</v>
      </c>
      <c r="BE9" t="e">
        <f t="shared" si="11"/>
        <v>#REF!</v>
      </c>
      <c r="BF9" t="e">
        <f t="shared" si="14"/>
        <v>#REF!</v>
      </c>
      <c r="BG9" t="e">
        <f t="shared" si="12"/>
        <v>#REF!</v>
      </c>
    </row>
    <row r="10" spans="1:59" ht="12.75">
      <c r="A10" s="35" t="s">
        <v>44</v>
      </c>
      <c r="B10" s="432"/>
      <c r="C10" s="125"/>
      <c r="D10" s="607"/>
      <c r="E10" s="608"/>
      <c r="F10" s="609"/>
      <c r="G10" s="12"/>
      <c r="H10" s="9"/>
      <c r="I10" s="9"/>
      <c r="J10" s="9"/>
      <c r="K10" s="1"/>
      <c r="L10" s="1"/>
      <c r="M10" s="1"/>
      <c r="N10" s="1"/>
      <c r="O10" s="2"/>
      <c r="P10" s="2"/>
      <c r="AD10" s="268" t="s">
        <v>47</v>
      </c>
      <c r="AE10" s="364" t="e">
        <f>AE2*TAN(0.75*#REF!*PI()/180)</f>
        <v>#REF!</v>
      </c>
      <c r="AF10" s="5"/>
      <c r="AG10" s="5"/>
      <c r="AH10" s="5"/>
      <c r="AI10" s="5"/>
      <c r="AJ10" s="5"/>
      <c r="AK10" s="5"/>
      <c r="AL10" s="266"/>
      <c r="AO10">
        <f t="shared" si="0"/>
        <v>45.83662361046586</v>
      </c>
      <c r="AP10">
        <v>0.8</v>
      </c>
      <c r="AQ10">
        <f t="shared" si="1"/>
        <v>0.010330488637559657</v>
      </c>
      <c r="AR10">
        <f t="shared" si="2"/>
        <v>0.03946950299855745</v>
      </c>
      <c r="AS10" s="232" t="e">
        <f>AQ10/#REF!</f>
        <v>#REF!</v>
      </c>
      <c r="AT10">
        <f t="shared" si="3"/>
        <v>0.03946950299855745</v>
      </c>
      <c r="AU10">
        <f t="shared" si="4"/>
        <v>0.9605304970014426</v>
      </c>
      <c r="AV10">
        <f t="shared" si="5"/>
        <v>0.46053049700144255</v>
      </c>
      <c r="AW10" s="232" t="e">
        <f>$AQ10/#REF!</f>
        <v>#REF!</v>
      </c>
      <c r="AY10" t="e">
        <f t="shared" si="13"/>
        <v>#REF!</v>
      </c>
      <c r="AZ10" t="e">
        <f t="shared" si="6"/>
        <v>#REF!</v>
      </c>
      <c r="BA10" t="e">
        <f t="shared" si="7"/>
        <v>#REF!</v>
      </c>
      <c r="BB10" t="e">
        <f t="shared" si="8"/>
        <v>#REF!</v>
      </c>
      <c r="BC10" t="e">
        <f t="shared" si="9"/>
        <v>#REF!</v>
      </c>
      <c r="BD10" t="e">
        <f t="shared" si="10"/>
        <v>#REF!</v>
      </c>
      <c r="BE10" t="e">
        <f t="shared" si="11"/>
        <v>#REF!</v>
      </c>
      <c r="BF10" t="e">
        <f t="shared" si="14"/>
        <v>#REF!</v>
      </c>
      <c r="BG10" t="e">
        <f t="shared" si="12"/>
        <v>#REF!</v>
      </c>
    </row>
    <row r="11" spans="1:59" ht="15.75">
      <c r="A11" s="72" t="s">
        <v>48</v>
      </c>
      <c r="B11" s="431"/>
      <c r="C11" s="129"/>
      <c r="D11" s="610"/>
      <c r="E11" s="602"/>
      <c r="F11" s="135"/>
      <c r="G11" s="104" t="s">
        <v>49</v>
      </c>
      <c r="H11" s="373"/>
      <c r="I11" s="217"/>
      <c r="J11" s="217"/>
      <c r="K11" s="2"/>
      <c r="AD11" s="268" t="s">
        <v>50</v>
      </c>
      <c r="AE11" s="348"/>
      <c r="AF11" s="5"/>
      <c r="AG11" s="5"/>
      <c r="AH11" s="5"/>
      <c r="AI11" s="5"/>
      <c r="AJ11" s="5"/>
      <c r="AK11" s="5"/>
      <c r="AL11" s="266"/>
      <c r="AO11">
        <f t="shared" si="0"/>
        <v>51.56620156177409</v>
      </c>
      <c r="AP11">
        <v>0.9</v>
      </c>
      <c r="AQ11">
        <f t="shared" si="1"/>
        <v>0.014584136296564576</v>
      </c>
      <c r="AR11">
        <f t="shared" si="2"/>
        <v>0.04977644882366156</v>
      </c>
      <c r="AS11" s="232" t="e">
        <f>AQ11/#REF!</f>
        <v>#REF!</v>
      </c>
      <c r="AT11">
        <f t="shared" si="3"/>
        <v>0.04977644882366156</v>
      </c>
      <c r="AU11">
        <f t="shared" si="4"/>
        <v>0.9502235511763384</v>
      </c>
      <c r="AV11">
        <f t="shared" si="5"/>
        <v>0.45022355117633844</v>
      </c>
      <c r="AW11" s="232" t="e">
        <f>$AQ11/#REF!</f>
        <v>#REF!</v>
      </c>
      <c r="AY11" t="e">
        <f t="shared" si="13"/>
        <v>#REF!</v>
      </c>
      <c r="AZ11" t="e">
        <f t="shared" si="6"/>
        <v>#REF!</v>
      </c>
      <c r="BA11" t="e">
        <f t="shared" si="7"/>
        <v>#REF!</v>
      </c>
      <c r="BB11" t="e">
        <f t="shared" si="8"/>
        <v>#REF!</v>
      </c>
      <c r="BC11" t="e">
        <f t="shared" si="9"/>
        <v>#REF!</v>
      </c>
      <c r="BD11" t="e">
        <f t="shared" si="10"/>
        <v>#REF!</v>
      </c>
      <c r="BE11" t="e">
        <f t="shared" si="11"/>
        <v>#REF!</v>
      </c>
      <c r="BF11" t="e">
        <f t="shared" si="14"/>
        <v>#REF!</v>
      </c>
      <c r="BG11" t="e">
        <f t="shared" si="12"/>
        <v>#REF!</v>
      </c>
    </row>
    <row r="12" spans="1:59" ht="15.75">
      <c r="A12" s="72" t="s">
        <v>51</v>
      </c>
      <c r="B12" s="431"/>
      <c r="C12" s="129"/>
      <c r="D12" s="610"/>
      <c r="E12" s="611"/>
      <c r="F12" s="612"/>
      <c r="G12" s="104" t="s">
        <v>52</v>
      </c>
      <c r="K12" s="2"/>
      <c r="L12" s="2"/>
      <c r="M12" s="2"/>
      <c r="N12" s="2"/>
      <c r="AD12" s="268" t="s">
        <v>53</v>
      </c>
      <c r="AE12" s="349" t="e">
        <f>#REF!/60</f>
        <v>#REF!</v>
      </c>
      <c r="AF12" s="5"/>
      <c r="AG12" s="5"/>
      <c r="AH12" s="5"/>
      <c r="AI12" s="5"/>
      <c r="AJ12" s="5"/>
      <c r="AK12" s="5"/>
      <c r="AL12" s="266"/>
      <c r="AO12">
        <f t="shared" si="0"/>
        <v>57.29577951308232</v>
      </c>
      <c r="AP12">
        <v>1</v>
      </c>
      <c r="AQ12">
        <f t="shared" si="1"/>
        <v>0.019816126899012937</v>
      </c>
      <c r="AR12">
        <f t="shared" si="2"/>
        <v>0.06120871905481362</v>
      </c>
      <c r="AS12" s="232" t="e">
        <f>AQ12/#REF!</f>
        <v>#REF!</v>
      </c>
      <c r="AT12">
        <f t="shared" si="3"/>
        <v>0.06120871905481362</v>
      </c>
      <c r="AU12">
        <f t="shared" si="4"/>
        <v>0.9387912809451864</v>
      </c>
      <c r="AV12">
        <f t="shared" si="5"/>
        <v>0.4387912809451864</v>
      </c>
      <c r="AW12" s="232" t="e">
        <f>$AQ12/#REF!</f>
        <v>#REF!</v>
      </c>
      <c r="AY12" t="e">
        <f t="shared" si="13"/>
        <v>#REF!</v>
      </c>
      <c r="AZ12" t="e">
        <f t="shared" si="6"/>
        <v>#REF!</v>
      </c>
      <c r="BA12" t="e">
        <f t="shared" si="7"/>
        <v>#REF!</v>
      </c>
      <c r="BB12" t="e">
        <f t="shared" si="8"/>
        <v>#REF!</v>
      </c>
      <c r="BC12" t="e">
        <f t="shared" si="9"/>
        <v>#REF!</v>
      </c>
      <c r="BD12" t="e">
        <f t="shared" si="10"/>
        <v>#REF!</v>
      </c>
      <c r="BE12" t="e">
        <f t="shared" si="11"/>
        <v>#REF!</v>
      </c>
      <c r="BF12" t="e">
        <f t="shared" si="14"/>
        <v>#REF!</v>
      </c>
      <c r="BG12" t="e">
        <f t="shared" si="12"/>
        <v>#REF!</v>
      </c>
    </row>
    <row r="13" spans="1:59" ht="12.75">
      <c r="A13" s="72" t="s">
        <v>54</v>
      </c>
      <c r="B13" s="601"/>
      <c r="C13" s="129"/>
      <c r="D13" s="613"/>
      <c r="E13" s="614"/>
      <c r="F13" s="136"/>
      <c r="N13" s="311" t="s">
        <v>57</v>
      </c>
      <c r="O13" s="254"/>
      <c r="P13" s="254" t="s">
        <v>58</v>
      </c>
      <c r="Q13" s="254"/>
      <c r="R13" s="312"/>
      <c r="S13" s="282"/>
      <c r="AD13" s="268" t="s">
        <v>59</v>
      </c>
      <c r="AE13" s="348"/>
      <c r="AF13" s="5"/>
      <c r="AG13" s="5"/>
      <c r="AH13" s="5"/>
      <c r="AI13" s="5"/>
      <c r="AJ13" s="5"/>
      <c r="AK13" s="5"/>
      <c r="AL13" s="266"/>
      <c r="AO13">
        <f t="shared" si="0"/>
        <v>63.02535746439057</v>
      </c>
      <c r="AP13">
        <v>1.1</v>
      </c>
      <c r="AQ13">
        <f t="shared" si="1"/>
        <v>0.026099079992320584</v>
      </c>
      <c r="AR13">
        <f t="shared" si="2"/>
        <v>0.07373773897024716</v>
      </c>
      <c r="AS13" s="232" t="e">
        <f>AQ13/#REF!</f>
        <v>#REF!</v>
      </c>
      <c r="AT13">
        <f t="shared" si="3"/>
        <v>0.07373773897024716</v>
      </c>
      <c r="AU13">
        <f t="shared" si="4"/>
        <v>0.9262622610297528</v>
      </c>
      <c r="AV13">
        <f t="shared" si="5"/>
        <v>0.42626226102975284</v>
      </c>
      <c r="AW13" s="232" t="e">
        <f>$AQ13/#REF!</f>
        <v>#REF!</v>
      </c>
      <c r="AY13" t="e">
        <f t="shared" si="13"/>
        <v>#REF!</v>
      </c>
      <c r="AZ13" t="e">
        <f t="shared" si="6"/>
        <v>#REF!</v>
      </c>
      <c r="BA13" t="e">
        <f t="shared" si="7"/>
        <v>#REF!</v>
      </c>
      <c r="BB13" t="e">
        <f t="shared" si="8"/>
        <v>#REF!</v>
      </c>
      <c r="BC13" t="e">
        <f t="shared" si="9"/>
        <v>#REF!</v>
      </c>
      <c r="BD13" t="e">
        <f t="shared" si="10"/>
        <v>#REF!</v>
      </c>
      <c r="BE13" t="e">
        <f t="shared" si="11"/>
        <v>#REF!</v>
      </c>
      <c r="BF13" t="e">
        <f t="shared" si="14"/>
        <v>#REF!</v>
      </c>
      <c r="BG13" t="e">
        <f t="shared" si="12"/>
        <v>#REF!</v>
      </c>
    </row>
    <row r="14" spans="1:59" ht="12.75">
      <c r="A14" s="72" t="s">
        <v>60</v>
      </c>
      <c r="B14" s="431"/>
      <c r="C14" s="129"/>
      <c r="D14" s="613"/>
      <c r="E14" s="187"/>
      <c r="F14" s="136"/>
      <c r="N14" s="290"/>
      <c r="O14" s="5"/>
      <c r="P14" s="5" t="s">
        <v>62</v>
      </c>
      <c r="Q14" s="5"/>
      <c r="R14" s="13"/>
      <c r="S14" s="283"/>
      <c r="AD14" s="268" t="s">
        <v>63</v>
      </c>
      <c r="AE14" s="350" t="e">
        <f>AF14*AG14*AH14+(AI14*AJ14)</f>
        <v>#REF!</v>
      </c>
      <c r="AF14" s="351" t="e">
        <f>PI()*AE4*AE8*AE12*#REF!/(3*(#REF!-AE25*#REF!))</f>
        <v>#REF!</v>
      </c>
      <c r="AG14" s="351" t="e">
        <f>2*#REF!^3-3*AE25*#REF!^2*#REF!+#REF!^3*(3*AE25-2)</f>
        <v>#REF!</v>
      </c>
      <c r="AH14" s="351" t="e">
        <f>#REF!*(SIN(AE29)-SIN(#REF!))+#REF!*(SIN(#REF!)-SIN(#REF!))</f>
        <v>#REF!</v>
      </c>
      <c r="AI14" s="351" t="e">
        <f>AE8*#REF!*(AE12*#REF!*PI()/(#REF!-AE25*#REF!))^3</f>
        <v>#REF!</v>
      </c>
      <c r="AJ14" s="351" t="e">
        <f>(#REF!-AE25*#REF!)^4-(#REF!^4)*(AE25-1)^4</f>
        <v>#REF!</v>
      </c>
      <c r="AK14" s="5">
        <v>12</v>
      </c>
      <c r="AL14" s="266"/>
      <c r="AO14">
        <f t="shared" si="0"/>
        <v>68.75493541569878</v>
      </c>
      <c r="AP14">
        <v>1.2</v>
      </c>
      <c r="AQ14">
        <f t="shared" si="1"/>
        <v>0.03349511425409671</v>
      </c>
      <c r="AR14">
        <f t="shared" si="2"/>
        <v>0.08733219254516084</v>
      </c>
      <c r="AS14" s="232" t="e">
        <f>AQ14/#REF!</f>
        <v>#REF!</v>
      </c>
      <c r="AT14">
        <f t="shared" si="3"/>
        <v>0.08733219254516084</v>
      </c>
      <c r="AU14">
        <f t="shared" si="4"/>
        <v>0.9126678074548391</v>
      </c>
      <c r="AV14">
        <f t="shared" si="5"/>
        <v>0.41266780745483916</v>
      </c>
      <c r="AW14" s="232" t="e">
        <f>$AQ14/#REF!</f>
        <v>#REF!</v>
      </c>
      <c r="AY14" t="e">
        <f t="shared" si="13"/>
        <v>#REF!</v>
      </c>
      <c r="AZ14" t="e">
        <f t="shared" si="6"/>
        <v>#REF!</v>
      </c>
      <c r="BA14" t="e">
        <f t="shared" si="7"/>
        <v>#REF!</v>
      </c>
      <c r="BB14" t="e">
        <f t="shared" si="8"/>
        <v>#REF!</v>
      </c>
      <c r="BC14" t="e">
        <f t="shared" si="9"/>
        <v>#REF!</v>
      </c>
      <c r="BD14" t="e">
        <f t="shared" si="10"/>
        <v>#REF!</v>
      </c>
      <c r="BE14" t="e">
        <f t="shared" si="11"/>
        <v>#REF!</v>
      </c>
      <c r="BF14" t="e">
        <f t="shared" si="14"/>
        <v>#REF!</v>
      </c>
      <c r="BG14" t="e">
        <f t="shared" si="12"/>
        <v>#REF!</v>
      </c>
    </row>
    <row r="15" spans="1:59" ht="12.75">
      <c r="A15" s="72" t="s">
        <v>64</v>
      </c>
      <c r="B15" s="601"/>
      <c r="C15" s="129"/>
      <c r="D15" s="145" t="s">
        <v>509</v>
      </c>
      <c r="E15" s="147"/>
      <c r="F15" s="146">
        <f>IF(B9&gt;0,10*B$14*(1/SQRT(B$12)-1/SQRT(B$11)),)</f>
        <v>0</v>
      </c>
      <c r="N15" s="290"/>
      <c r="O15" s="5"/>
      <c r="P15" s="5" t="s">
        <v>66</v>
      </c>
      <c r="Q15" s="5"/>
      <c r="R15" s="5"/>
      <c r="S15" s="249"/>
      <c r="AD15" s="268" t="s">
        <v>67</v>
      </c>
      <c r="AE15" s="350" t="e">
        <f>AF15*AG15*AH15+AI15*AJ15</f>
        <v>#REF!</v>
      </c>
      <c r="AF15" s="351" t="e">
        <f>PI()*AE4*AE10*AE12/(3*(#REF!-#REF!))</f>
        <v>#REF!</v>
      </c>
      <c r="AG15" s="351" t="e">
        <f>#REF!^4-4*#REF!*#REF!^3+3*#REF!^4</f>
        <v>#REF!</v>
      </c>
      <c r="AH15" s="351" t="e">
        <f>#REF!*(SIN(AE29)-SIN(#REF!))+#REF!*(SIN(#REF!)-SIN(#REF!))</f>
        <v>#REF!</v>
      </c>
      <c r="AI15" s="351" t="e">
        <f>(2*(PI()^3)*(AE12^3)*AE10*#REF!)/(5*(#REF!-#REF!))</f>
        <v>#REF!</v>
      </c>
      <c r="AJ15" s="351" t="e">
        <f>(#REF!^5)-5*#REF!*(#REF!^4)+4*(#REF!^5)</f>
        <v>#REF!</v>
      </c>
      <c r="AK15" s="5">
        <v>13</v>
      </c>
      <c r="AL15" s="266"/>
      <c r="AO15">
        <f t="shared" si="0"/>
        <v>74.48451336700703</v>
      </c>
      <c r="AP15">
        <v>1.3</v>
      </c>
      <c r="AQ15">
        <f t="shared" si="1"/>
        <v>0.042055226822850886</v>
      </c>
      <c r="AR15">
        <f t="shared" si="2"/>
        <v>0.10195810072547207</v>
      </c>
      <c r="AS15" s="232" t="e">
        <f>AQ15/#REF!</f>
        <v>#REF!</v>
      </c>
      <c r="AT15">
        <f t="shared" si="3"/>
        <v>0.10195810072547207</v>
      </c>
      <c r="AU15">
        <f t="shared" si="4"/>
        <v>0.8980418992745279</v>
      </c>
      <c r="AV15">
        <f t="shared" si="5"/>
        <v>0.39804189927452793</v>
      </c>
      <c r="AW15" s="232" t="e">
        <f>$AQ15/#REF!</f>
        <v>#REF!</v>
      </c>
      <c r="AY15" t="e">
        <f t="shared" si="13"/>
        <v>#REF!</v>
      </c>
      <c r="AZ15" t="e">
        <f t="shared" si="6"/>
        <v>#REF!</v>
      </c>
      <c r="BA15" t="e">
        <f t="shared" si="7"/>
        <v>#REF!</v>
      </c>
      <c r="BB15" t="e">
        <f t="shared" si="8"/>
        <v>#REF!</v>
      </c>
      <c r="BC15" t="e">
        <f t="shared" si="9"/>
        <v>#REF!</v>
      </c>
      <c r="BD15" t="e">
        <f t="shared" si="10"/>
        <v>#REF!</v>
      </c>
      <c r="BE15" t="e">
        <f t="shared" si="11"/>
        <v>#REF!</v>
      </c>
      <c r="BF15" t="e">
        <f t="shared" si="14"/>
        <v>#REF!</v>
      </c>
      <c r="BG15" t="e">
        <f t="shared" si="12"/>
        <v>#REF!</v>
      </c>
    </row>
    <row r="16" spans="1:59" ht="12.75">
      <c r="A16" s="34"/>
      <c r="B16" s="11"/>
      <c r="C16" s="138"/>
      <c r="D16" s="145"/>
      <c r="E16" s="147"/>
      <c r="F16" s="146"/>
      <c r="N16" s="291"/>
      <c r="O16" s="313"/>
      <c r="P16" s="292" t="s">
        <v>69</v>
      </c>
      <c r="Q16" s="292"/>
      <c r="R16" s="292"/>
      <c r="S16" s="256"/>
      <c r="AD16" s="268" t="s">
        <v>70</v>
      </c>
      <c r="AE16" s="350" t="e">
        <f>1.68*AE2^2.05*(AE27*(0.667*AE10+AE8))^0.82</f>
        <v>#REF!</v>
      </c>
      <c r="AF16" s="351"/>
      <c r="AG16" s="352">
        <v>14</v>
      </c>
      <c r="AH16" s="351"/>
      <c r="AI16" s="351"/>
      <c r="AJ16" s="351"/>
      <c r="AK16" s="5"/>
      <c r="AL16" s="266"/>
      <c r="AO16">
        <f t="shared" si="0"/>
        <v>80.21409131831524</v>
      </c>
      <c r="AP16">
        <v>1.4</v>
      </c>
      <c r="AQ16">
        <f t="shared" si="1"/>
        <v>0.05181878375144247</v>
      </c>
      <c r="AR16">
        <f t="shared" si="2"/>
        <v>0.11757890635775575</v>
      </c>
      <c r="AS16" s="232" t="e">
        <f>AQ16/#REF!</f>
        <v>#REF!</v>
      </c>
      <c r="AT16">
        <f t="shared" si="3"/>
        <v>0.11757890635775575</v>
      </c>
      <c r="AU16">
        <f t="shared" si="4"/>
        <v>0.8824210936422443</v>
      </c>
      <c r="AV16">
        <f t="shared" si="5"/>
        <v>0.38242109364224425</v>
      </c>
      <c r="AW16" s="232" t="e">
        <f>$AQ16/#REF!</f>
        <v>#REF!</v>
      </c>
      <c r="AY16" t="e">
        <f t="shared" si="13"/>
        <v>#REF!</v>
      </c>
      <c r="AZ16" t="e">
        <f t="shared" si="6"/>
        <v>#REF!</v>
      </c>
      <c r="BA16" t="e">
        <f t="shared" si="7"/>
        <v>#REF!</v>
      </c>
      <c r="BB16" t="e">
        <f t="shared" si="8"/>
        <v>#REF!</v>
      </c>
      <c r="BC16" t="e">
        <f t="shared" si="9"/>
        <v>#REF!</v>
      </c>
      <c r="BD16" t="e">
        <f t="shared" si="10"/>
        <v>#REF!</v>
      </c>
      <c r="BE16" t="e">
        <f t="shared" si="11"/>
        <v>#REF!</v>
      </c>
      <c r="BF16" t="e">
        <f t="shared" si="14"/>
        <v>#REF!</v>
      </c>
      <c r="BG16" t="e">
        <f t="shared" si="12"/>
        <v>#REF!</v>
      </c>
    </row>
    <row r="17" spans="1:59" ht="15" customHeight="1">
      <c r="A17" s="48" t="s">
        <v>204</v>
      </c>
      <c r="B17" s="431"/>
      <c r="C17" s="138"/>
      <c r="D17" s="145"/>
      <c r="E17" s="147"/>
      <c r="F17" s="146"/>
      <c r="H17" s="444"/>
      <c r="K17" s="2"/>
      <c r="AD17" s="353" t="s">
        <v>72</v>
      </c>
      <c r="AE17" s="354" t="e">
        <f>AE16+(AE7*(AE14+AE15))</f>
        <v>#REF!</v>
      </c>
      <c r="AF17" s="355"/>
      <c r="AG17" s="355">
        <v>15</v>
      </c>
      <c r="AH17" s="355"/>
      <c r="AI17" s="355"/>
      <c r="AJ17" s="355"/>
      <c r="AK17" s="31"/>
      <c r="AL17" s="266"/>
      <c r="AO17">
        <f t="shared" si="0"/>
        <v>85.94366926962348</v>
      </c>
      <c r="AP17">
        <v>1.5</v>
      </c>
      <c r="AQ17">
        <f t="shared" si="1"/>
        <v>0.0628131266744932</v>
      </c>
      <c r="AR17">
        <f t="shared" si="2"/>
        <v>0.13415556556308955</v>
      </c>
      <c r="AS17" s="232" t="e">
        <f>AQ17/#REF!</f>
        <v>#REF!</v>
      </c>
      <c r="AT17">
        <f t="shared" si="3"/>
        <v>0.13415556556308955</v>
      </c>
      <c r="AU17">
        <f t="shared" si="4"/>
        <v>0.8658444344369105</v>
      </c>
      <c r="AV17">
        <f t="shared" si="5"/>
        <v>0.36584443443691045</v>
      </c>
      <c r="AW17" s="232"/>
      <c r="AY17" t="e">
        <f t="shared" si="13"/>
        <v>#REF!</v>
      </c>
      <c r="AZ17" t="e">
        <f t="shared" si="6"/>
        <v>#REF!</v>
      </c>
      <c r="BA17" t="e">
        <f t="shared" si="7"/>
        <v>#REF!</v>
      </c>
      <c r="BB17" t="e">
        <f t="shared" si="8"/>
        <v>#REF!</v>
      </c>
      <c r="BC17" t="e">
        <f t="shared" si="9"/>
        <v>#REF!</v>
      </c>
      <c r="BD17" t="e">
        <f t="shared" si="10"/>
        <v>#REF!</v>
      </c>
      <c r="BE17" t="e">
        <f t="shared" si="11"/>
        <v>#REF!</v>
      </c>
      <c r="BF17" t="e">
        <f t="shared" si="14"/>
        <v>#REF!</v>
      </c>
      <c r="BG17" t="e">
        <f t="shared" si="12"/>
        <v>#REF!</v>
      </c>
    </row>
    <row r="18" spans="1:59" ht="12.75">
      <c r="A18" s="34"/>
      <c r="B18" s="9"/>
      <c r="C18" s="138"/>
      <c r="D18" s="606" t="s">
        <v>510</v>
      </c>
      <c r="E18" s="147"/>
      <c r="F18" s="146">
        <f>F16-F17</f>
        <v>0</v>
      </c>
      <c r="H18" s="2"/>
      <c r="AD18" s="268" t="s">
        <v>74</v>
      </c>
      <c r="AE18" s="348"/>
      <c r="AF18" s="5"/>
      <c r="AG18" s="5"/>
      <c r="AH18" s="5"/>
      <c r="AI18" s="5"/>
      <c r="AJ18" s="5"/>
      <c r="AK18" s="5"/>
      <c r="AL18" s="266"/>
      <c r="AO18">
        <f t="shared" si="0"/>
        <v>91.67324722093171</v>
      </c>
      <c r="AP18">
        <v>1.6</v>
      </c>
      <c r="AQ18">
        <f t="shared" si="1"/>
        <v>0.07505329961981187</v>
      </c>
      <c r="AR18">
        <f t="shared" si="2"/>
        <v>0.1516466453264173</v>
      </c>
      <c r="AS18" s="232" t="e">
        <f>AQ18/#REF!</f>
        <v>#REF!</v>
      </c>
      <c r="AT18">
        <f t="shared" si="3"/>
        <v>0.1516466453264173</v>
      </c>
      <c r="AU18">
        <f t="shared" si="4"/>
        <v>0.8483533546735826</v>
      </c>
      <c r="AV18">
        <f t="shared" si="5"/>
        <v>0.3483533546735827</v>
      </c>
      <c r="AW18" s="232" t="e">
        <f>$AQ18/#REF!</f>
        <v>#REF!</v>
      </c>
      <c r="AY18" t="e">
        <f t="shared" si="13"/>
        <v>#REF!</v>
      </c>
      <c r="AZ18" t="e">
        <f t="shared" si="6"/>
        <v>#REF!</v>
      </c>
      <c r="BA18" t="e">
        <f t="shared" si="7"/>
        <v>#REF!</v>
      </c>
      <c r="BB18" t="e">
        <f t="shared" si="8"/>
        <v>#REF!</v>
      </c>
      <c r="BC18" t="e">
        <f t="shared" si="9"/>
        <v>#REF!</v>
      </c>
      <c r="BD18" t="e">
        <f t="shared" si="10"/>
        <v>#REF!</v>
      </c>
      <c r="BE18" t="e">
        <f t="shared" si="11"/>
        <v>#REF!</v>
      </c>
      <c r="BF18" t="e">
        <f t="shared" si="14"/>
        <v>#REF!</v>
      </c>
      <c r="BG18" t="e">
        <f t="shared" si="12"/>
        <v>#REF!</v>
      </c>
    </row>
    <row r="19" spans="1:59" ht="12.75">
      <c r="A19" s="115" t="s">
        <v>75</v>
      </c>
      <c r="B19" s="11"/>
      <c r="C19" s="125"/>
      <c r="D19" s="148"/>
      <c r="E19" s="148"/>
      <c r="F19" s="221"/>
      <c r="H19" s="2"/>
      <c r="AD19" s="268" t="s">
        <v>79</v>
      </c>
      <c r="AE19" s="348"/>
      <c r="AF19" s="5"/>
      <c r="AG19" s="5"/>
      <c r="AH19" s="5"/>
      <c r="AI19" s="5"/>
      <c r="AJ19" s="5"/>
      <c r="AK19" s="5"/>
      <c r="AL19" s="266"/>
      <c r="AO19">
        <f t="shared" si="0"/>
        <v>97.40282517223994</v>
      </c>
      <c r="AP19">
        <v>1.7</v>
      </c>
      <c r="AQ19">
        <f t="shared" si="1"/>
        <v>0.08854189869344142</v>
      </c>
      <c r="AR19">
        <f t="shared" si="2"/>
        <v>0.1700084270575089</v>
      </c>
      <c r="AS19" s="232" t="e">
        <f>AQ19/#REF!</f>
        <v>#REF!</v>
      </c>
      <c r="AT19">
        <f t="shared" si="3"/>
        <v>0.1700084270575089</v>
      </c>
      <c r="AU19">
        <f t="shared" si="4"/>
        <v>0.8299915729424912</v>
      </c>
      <c r="AV19">
        <f t="shared" si="5"/>
        <v>0.3299915729424911</v>
      </c>
      <c r="AW19" s="232" t="e">
        <f>$AQ19/#REF!</f>
        <v>#REF!</v>
      </c>
      <c r="AY19" t="e">
        <f t="shared" si="13"/>
        <v>#REF!</v>
      </c>
      <c r="AZ19" t="e">
        <f t="shared" si="6"/>
        <v>#REF!</v>
      </c>
      <c r="BA19" t="e">
        <f t="shared" si="7"/>
        <v>#REF!</v>
      </c>
      <c r="BB19" t="e">
        <f t="shared" si="8"/>
        <v>#REF!</v>
      </c>
      <c r="BC19" t="e">
        <f t="shared" si="9"/>
        <v>#REF!</v>
      </c>
      <c r="BD19" t="e">
        <f t="shared" si="10"/>
        <v>#REF!</v>
      </c>
      <c r="BE19" t="e">
        <f t="shared" si="11"/>
        <v>#REF!</v>
      </c>
      <c r="BF19" t="e">
        <f t="shared" si="14"/>
        <v>#REF!</v>
      </c>
      <c r="BG19" t="e">
        <f t="shared" si="12"/>
        <v>#REF!</v>
      </c>
    </row>
    <row r="20" spans="1:59" ht="12.75">
      <c r="A20" s="78"/>
      <c r="B20" s="11"/>
      <c r="C20" s="125"/>
      <c r="D20" s="147"/>
      <c r="E20" s="147"/>
      <c r="F20" s="146"/>
      <c r="H20" s="444"/>
      <c r="AD20" s="268" t="s">
        <v>80</v>
      </c>
      <c r="AE20" s="348"/>
      <c r="AF20" s="5"/>
      <c r="AG20" s="5"/>
      <c r="AH20" s="5"/>
      <c r="AI20" s="5"/>
      <c r="AJ20" s="5"/>
      <c r="AK20" s="5"/>
      <c r="AL20" s="266"/>
      <c r="AO20">
        <f t="shared" si="0"/>
        <v>103.13240312354819</v>
      </c>
      <c r="AP20">
        <v>1.8</v>
      </c>
      <c r="AQ20">
        <f t="shared" si="1"/>
        <v>0.10326904614022561</v>
      </c>
      <c r="AR20">
        <f t="shared" si="2"/>
        <v>0.1891950158646678</v>
      </c>
      <c r="AS20" s="232" t="e">
        <f>AQ20/#REF!</f>
        <v>#REF!</v>
      </c>
      <c r="AT20">
        <f t="shared" si="3"/>
        <v>0.1891950158646678</v>
      </c>
      <c r="AU20">
        <f t="shared" si="4"/>
        <v>0.8108049841353322</v>
      </c>
      <c r="AV20">
        <f t="shared" si="5"/>
        <v>0.3108049841353322</v>
      </c>
      <c r="AW20" s="232" t="e">
        <f>$AQ20/#REF!</f>
        <v>#REF!</v>
      </c>
      <c r="AY20" t="e">
        <f t="shared" si="13"/>
        <v>#REF!</v>
      </c>
      <c r="AZ20" t="e">
        <f t="shared" si="6"/>
        <v>#REF!</v>
      </c>
      <c r="BA20" t="e">
        <f t="shared" si="7"/>
        <v>#REF!</v>
      </c>
      <c r="BB20" t="e">
        <f t="shared" si="8"/>
        <v>#REF!</v>
      </c>
      <c r="BC20" t="e">
        <f t="shared" si="9"/>
        <v>#REF!</v>
      </c>
      <c r="BD20" t="e">
        <f t="shared" si="10"/>
        <v>#REF!</v>
      </c>
      <c r="BE20" t="e">
        <f t="shared" si="11"/>
        <v>#REF!</v>
      </c>
      <c r="BF20" t="e">
        <f t="shared" si="14"/>
        <v>#REF!</v>
      </c>
      <c r="BG20" t="e">
        <f t="shared" si="12"/>
        <v>#REF!</v>
      </c>
    </row>
    <row r="21" spans="1:59" ht="12.75">
      <c r="A21" s="40"/>
      <c r="B21" s="11"/>
      <c r="C21" s="126"/>
      <c r="D21" s="127"/>
      <c r="E21" s="206"/>
      <c r="F21" s="159"/>
      <c r="G21" s="9"/>
      <c r="H21" s="4"/>
      <c r="AD21" s="268" t="s">
        <v>101</v>
      </c>
      <c r="AE21" s="359">
        <v>1</v>
      </c>
      <c r="AF21" s="5"/>
      <c r="AG21" s="5"/>
      <c r="AH21" s="5"/>
      <c r="AI21" s="5"/>
      <c r="AJ21" s="5"/>
      <c r="AK21" s="5"/>
      <c r="AL21" s="266"/>
      <c r="AO21">
        <f t="shared" si="0"/>
        <v>154.6986046853223</v>
      </c>
      <c r="AP21">
        <v>2.7</v>
      </c>
      <c r="AQ21">
        <f t="shared" si="1"/>
        <v>0.28407751497077127</v>
      </c>
      <c r="AR21">
        <f t="shared" si="2"/>
        <v>0.39049665645347925</v>
      </c>
      <c r="AS21" s="232" t="e">
        <f>AQ21/#REF!</f>
        <v>#REF!</v>
      </c>
      <c r="AT21">
        <f t="shared" si="3"/>
        <v>0.39049665645347925</v>
      </c>
      <c r="AU21">
        <f t="shared" si="4"/>
        <v>0.6095033435465207</v>
      </c>
      <c r="AV21">
        <f t="shared" si="5"/>
        <v>0.10950334354652075</v>
      </c>
      <c r="AW21" s="232" t="e">
        <f>$AQ21/#REF!</f>
        <v>#REF!</v>
      </c>
      <c r="AY21" t="e">
        <f>IF(#REF!-($AZ$1/4)&gt;0,#REF!+1,#REF!)</f>
        <v>#REF!</v>
      </c>
      <c r="AZ21" t="e">
        <f t="shared" si="6"/>
        <v>#REF!</v>
      </c>
      <c r="BA21" t="e">
        <f t="shared" si="7"/>
        <v>#REF!</v>
      </c>
      <c r="BB21" t="e">
        <f t="shared" si="8"/>
        <v>#REF!</v>
      </c>
      <c r="BC21" t="e">
        <f t="shared" si="9"/>
        <v>#REF!</v>
      </c>
      <c r="BD21" t="e">
        <f t="shared" si="10"/>
        <v>#REF!</v>
      </c>
      <c r="BE21" t="e">
        <f t="shared" si="11"/>
        <v>#REF!</v>
      </c>
      <c r="BF21" t="e">
        <f>AY21-#REF!</f>
        <v>#REF!</v>
      </c>
      <c r="BG21" t="e">
        <f t="shared" si="12"/>
        <v>#REF!</v>
      </c>
    </row>
    <row r="22" spans="1:59" ht="12.75">
      <c r="A22" s="34"/>
      <c r="B22" s="11"/>
      <c r="C22" s="126"/>
      <c r="D22" s="155"/>
      <c r="E22" s="220"/>
      <c r="F22" s="222"/>
      <c r="G22" s="9"/>
      <c r="H22" s="4"/>
      <c r="AD22" s="268" t="s">
        <v>105</v>
      </c>
      <c r="AE22" s="348"/>
      <c r="AF22" s="5"/>
      <c r="AG22" s="5"/>
      <c r="AH22" s="5"/>
      <c r="AI22" s="5"/>
      <c r="AJ22" s="5"/>
      <c r="AK22" s="5"/>
      <c r="AL22" s="266"/>
      <c r="AO22">
        <f t="shared" si="0"/>
        <v>160.42818263663048</v>
      </c>
      <c r="AP22">
        <v>2.8</v>
      </c>
      <c r="AQ22">
        <f t="shared" si="1"/>
        <v>0.30812648123051184</v>
      </c>
      <c r="AR22">
        <f t="shared" si="2"/>
        <v>0.41501642854987947</v>
      </c>
      <c r="AS22" s="232" t="e">
        <f>AQ22/#REF!</f>
        <v>#REF!</v>
      </c>
      <c r="AT22">
        <f t="shared" si="3"/>
        <v>0.41501642854987947</v>
      </c>
      <c r="AU22">
        <f t="shared" si="4"/>
        <v>0.5849835714501206</v>
      </c>
      <c r="AV22">
        <f t="shared" si="5"/>
        <v>0.08498357145012053</v>
      </c>
      <c r="AW22" s="232" t="e">
        <f>$AQ22/#REF!</f>
        <v>#REF!</v>
      </c>
      <c r="AY22" t="e">
        <f t="shared" si="13"/>
        <v>#REF!</v>
      </c>
      <c r="AZ22" t="e">
        <f t="shared" si="6"/>
        <v>#REF!</v>
      </c>
      <c r="BA22" t="e">
        <f t="shared" si="7"/>
        <v>#REF!</v>
      </c>
      <c r="BB22" t="e">
        <f t="shared" si="8"/>
        <v>#REF!</v>
      </c>
      <c r="BC22" t="e">
        <f t="shared" si="9"/>
        <v>#REF!</v>
      </c>
      <c r="BD22" t="e">
        <f t="shared" si="10"/>
        <v>#REF!</v>
      </c>
      <c r="BE22" t="e">
        <f t="shared" si="11"/>
        <v>#REF!</v>
      </c>
      <c r="BF22" t="e">
        <f t="shared" si="14"/>
        <v>#REF!</v>
      </c>
      <c r="BG22" t="e">
        <f t="shared" si="12"/>
        <v>#REF!</v>
      </c>
    </row>
    <row r="23" spans="1:59" ht="12.75">
      <c r="A23" s="35" t="s">
        <v>491</v>
      </c>
      <c r="B23" s="433">
        <v>1.1</v>
      </c>
      <c r="C23" s="125"/>
      <c r="D23" s="155"/>
      <c r="E23" s="220"/>
      <c r="F23" s="222"/>
      <c r="H23" s="442" t="s">
        <v>108</v>
      </c>
      <c r="I23" s="443" t="s">
        <v>109</v>
      </c>
      <c r="J23" s="443">
        <v>1.25</v>
      </c>
      <c r="K23" t="s">
        <v>104</v>
      </c>
      <c r="AD23" s="268" t="s">
        <v>110</v>
      </c>
      <c r="AE23" s="348"/>
      <c r="AF23" s="5"/>
      <c r="AG23" s="5"/>
      <c r="AH23" s="5"/>
      <c r="AI23" s="5"/>
      <c r="AJ23" s="5"/>
      <c r="AK23" s="5"/>
      <c r="AL23" s="266"/>
      <c r="AO23">
        <f t="shared" si="0"/>
        <v>166.15776058793872</v>
      </c>
      <c r="AP23">
        <v>2.9</v>
      </c>
      <c r="AQ23">
        <f t="shared" si="1"/>
        <v>0.3325938338482522</v>
      </c>
      <c r="AR23">
        <f t="shared" si="2"/>
        <v>0.4397486153163167</v>
      </c>
      <c r="AS23" s="232" t="e">
        <f>AQ23/#REF!</f>
        <v>#REF!</v>
      </c>
      <c r="AT23">
        <f t="shared" si="3"/>
        <v>0.4397486153163167</v>
      </c>
      <c r="AU23">
        <f t="shared" si="4"/>
        <v>0.5602513846836833</v>
      </c>
      <c r="AV23">
        <f t="shared" si="5"/>
        <v>0.060251384683683296</v>
      </c>
      <c r="AW23" s="232" t="e">
        <f>$AQ23/#REF!</f>
        <v>#REF!</v>
      </c>
      <c r="AY23" t="e">
        <f t="shared" si="13"/>
        <v>#REF!</v>
      </c>
      <c r="AZ23" t="e">
        <f t="shared" si="6"/>
        <v>#REF!</v>
      </c>
      <c r="BA23" t="e">
        <f t="shared" si="7"/>
        <v>#REF!</v>
      </c>
      <c r="BB23" t="e">
        <f t="shared" si="8"/>
        <v>#REF!</v>
      </c>
      <c r="BC23" t="e">
        <f t="shared" si="9"/>
        <v>#REF!</v>
      </c>
      <c r="BD23" t="e">
        <f t="shared" si="10"/>
        <v>#REF!</v>
      </c>
      <c r="BE23" t="e">
        <f t="shared" si="11"/>
        <v>#REF!</v>
      </c>
      <c r="BF23" t="e">
        <f t="shared" si="14"/>
        <v>#REF!</v>
      </c>
      <c r="BG23" t="e">
        <f t="shared" si="12"/>
        <v>#REF!</v>
      </c>
    </row>
    <row r="24" spans="1:59" ht="12.75">
      <c r="A24" s="34"/>
      <c r="B24" s="5"/>
      <c r="C24" s="5"/>
      <c r="D24" s="126"/>
      <c r="E24" s="75" t="s">
        <v>492</v>
      </c>
      <c r="F24" s="159">
        <f>F15</f>
        <v>0</v>
      </c>
      <c r="H24" s="4"/>
      <c r="AD24" s="268" t="s">
        <v>112</v>
      </c>
      <c r="AE24" s="348"/>
      <c r="AF24" s="5"/>
      <c r="AG24" s="5"/>
      <c r="AH24" s="5"/>
      <c r="AI24" s="5"/>
      <c r="AJ24" s="5"/>
      <c r="AK24" s="5"/>
      <c r="AL24" s="266"/>
      <c r="AO24">
        <f t="shared" si="0"/>
        <v>171.88733853924697</v>
      </c>
      <c r="AP24">
        <v>3</v>
      </c>
      <c r="AQ24">
        <f t="shared" si="1"/>
        <v>0.3573599989925166</v>
      </c>
      <c r="AR24">
        <f t="shared" si="2"/>
        <v>0.46463139916614854</v>
      </c>
      <c r="AS24" s="232" t="e">
        <f>AQ24/#REF!</f>
        <v>#REF!</v>
      </c>
      <c r="AT24">
        <f t="shared" si="3"/>
        <v>0.46463139916614854</v>
      </c>
      <c r="AU24">
        <f t="shared" si="4"/>
        <v>0.5353686008338514</v>
      </c>
      <c r="AV24">
        <f t="shared" si="5"/>
        <v>0.03536860083385146</v>
      </c>
      <c r="AW24" s="232" t="e">
        <f>$AQ24/#REF!</f>
        <v>#REF!</v>
      </c>
      <c r="AY24" t="e">
        <f t="shared" si="13"/>
        <v>#REF!</v>
      </c>
      <c r="AZ24" t="e">
        <f t="shared" si="6"/>
        <v>#REF!</v>
      </c>
      <c r="BA24" t="e">
        <f t="shared" si="7"/>
        <v>#REF!</v>
      </c>
      <c r="BB24" t="e">
        <f t="shared" si="8"/>
        <v>#REF!</v>
      </c>
      <c r="BC24" t="e">
        <f t="shared" si="9"/>
        <v>#REF!</v>
      </c>
      <c r="BD24" t="e">
        <f t="shared" si="10"/>
        <v>#REF!</v>
      </c>
      <c r="BE24" t="e">
        <f t="shared" si="11"/>
        <v>#REF!</v>
      </c>
      <c r="BF24" t="e">
        <f t="shared" si="14"/>
        <v>#REF!</v>
      </c>
      <c r="BG24" t="e">
        <f t="shared" si="12"/>
        <v>#REF!</v>
      </c>
    </row>
    <row r="25" spans="1:59" ht="12.75">
      <c r="A25" s="41"/>
      <c r="B25" s="5"/>
      <c r="C25" s="5"/>
      <c r="D25" s="126"/>
      <c r="E25" s="18" t="s">
        <v>113</v>
      </c>
      <c r="F25" s="159">
        <f>F24*B23</f>
        <v>0</v>
      </c>
      <c r="G25" s="10"/>
      <c r="H25" s="121">
        <f>F16-F17</f>
        <v>0</v>
      </c>
      <c r="K25" s="2"/>
      <c r="L25" s="4"/>
      <c r="M25" s="4"/>
      <c r="N25" s="4"/>
      <c r="AD25" s="268" t="s">
        <v>114</v>
      </c>
      <c r="AE25" s="356" t="e">
        <f>(1-AE6)^0.4532</f>
        <v>#REF!</v>
      </c>
      <c r="AF25" s="5"/>
      <c r="AG25" s="5">
        <v>11</v>
      </c>
      <c r="AH25" s="5"/>
      <c r="AI25" s="5"/>
      <c r="AJ25" s="5"/>
      <c r="AK25" s="5"/>
      <c r="AL25" s="266"/>
      <c r="AO25">
        <f t="shared" si="0"/>
        <v>177.6169164905552</v>
      </c>
      <c r="AP25">
        <v>3.1</v>
      </c>
      <c r="AQ25">
        <f t="shared" si="1"/>
        <v>0.3823024171958387</v>
      </c>
      <c r="AR25">
        <f t="shared" si="2"/>
        <v>0.4896025860984538</v>
      </c>
      <c r="AS25" s="232" t="e">
        <f>AQ25/#REF!</f>
        <v>#REF!</v>
      </c>
      <c r="AT25">
        <f t="shared" si="3"/>
        <v>0.4896025860984538</v>
      </c>
      <c r="AU25">
        <f t="shared" si="4"/>
        <v>0.5103974139015461</v>
      </c>
      <c r="AV25">
        <f t="shared" si="5"/>
        <v>0.010397413901546193</v>
      </c>
      <c r="AW25" s="232" t="e">
        <f>$AQ25/#REF!</f>
        <v>#REF!</v>
      </c>
      <c r="AY25" t="e">
        <f t="shared" si="13"/>
        <v>#REF!</v>
      </c>
      <c r="AZ25" t="e">
        <f t="shared" si="6"/>
        <v>#REF!</v>
      </c>
      <c r="BA25" t="e">
        <f t="shared" si="7"/>
        <v>#REF!</v>
      </c>
      <c r="BB25" t="e">
        <f t="shared" si="8"/>
        <v>#REF!</v>
      </c>
      <c r="BC25" t="e">
        <f t="shared" si="9"/>
        <v>#REF!</v>
      </c>
      <c r="BD25" t="e">
        <f t="shared" si="10"/>
        <v>#REF!</v>
      </c>
      <c r="BE25" t="e">
        <f t="shared" si="11"/>
        <v>#REF!</v>
      </c>
      <c r="BF25" t="e">
        <f t="shared" si="14"/>
        <v>#REF!</v>
      </c>
      <c r="BG25" t="e">
        <f t="shared" si="12"/>
        <v>#REF!</v>
      </c>
    </row>
    <row r="26" spans="1:59" ht="12.75">
      <c r="A26" s="41"/>
      <c r="B26" s="5"/>
      <c r="C26" s="18"/>
      <c r="D26" s="126"/>
      <c r="E26" s="161"/>
      <c r="F26" s="159"/>
      <c r="G26" s="10"/>
      <c r="H26" s="4"/>
      <c r="K26" s="2"/>
      <c r="L26" s="4"/>
      <c r="M26" s="4"/>
      <c r="N26" s="4"/>
      <c r="AD26" s="360" t="s">
        <v>115</v>
      </c>
      <c r="AE26" s="356" t="e">
        <f>#REF!/(#REF!+#REF!)</f>
        <v>#REF!</v>
      </c>
      <c r="AF26" s="5"/>
      <c r="AG26" s="5">
        <v>9</v>
      </c>
      <c r="AH26" s="5"/>
      <c r="AI26" s="5"/>
      <c r="AJ26" s="5"/>
      <c r="AK26" s="5"/>
      <c r="AL26" s="266"/>
      <c r="AO26">
        <f t="shared" si="0"/>
        <v>183.34649444186343</v>
      </c>
      <c r="AP26">
        <v>3.2</v>
      </c>
      <c r="AQ26">
        <f t="shared" si="1"/>
        <v>0.40729676792844755</v>
      </c>
      <c r="AR26">
        <f t="shared" si="2"/>
        <v>0.5145997611506444</v>
      </c>
      <c r="AS26" s="232" t="e">
        <f>AQ26/#REF!</f>
        <v>#REF!</v>
      </c>
      <c r="AT26">
        <f t="shared" si="3"/>
        <v>0.5145997611506444</v>
      </c>
      <c r="AU26">
        <f t="shared" si="4"/>
        <v>0.48540023884935557</v>
      </c>
      <c r="AV26">
        <f t="shared" si="5"/>
        <v>-0.01459976115064443</v>
      </c>
      <c r="AW26" s="232" t="e">
        <f>$AQ26/#REF!</f>
        <v>#REF!</v>
      </c>
      <c r="AY26" t="e">
        <f t="shared" si="13"/>
        <v>#REF!</v>
      </c>
      <c r="AZ26" t="e">
        <f t="shared" si="6"/>
        <v>#REF!</v>
      </c>
      <c r="BA26" t="e">
        <f t="shared" si="7"/>
        <v>#REF!</v>
      </c>
      <c r="BB26" t="e">
        <f t="shared" si="8"/>
        <v>#REF!</v>
      </c>
      <c r="BC26" t="e">
        <f t="shared" si="9"/>
        <v>#REF!</v>
      </c>
      <c r="BD26" t="e">
        <f t="shared" si="10"/>
        <v>#REF!</v>
      </c>
      <c r="BE26" t="e">
        <f t="shared" si="11"/>
        <v>#REF!</v>
      </c>
      <c r="BF26" t="e">
        <f t="shared" si="14"/>
        <v>#REF!</v>
      </c>
      <c r="BG26" t="e">
        <f t="shared" si="12"/>
        <v>#REF!</v>
      </c>
    </row>
    <row r="27" spans="1:59" ht="20.25" customHeight="1" thickBot="1">
      <c r="A27" s="109"/>
      <c r="B27" s="204"/>
      <c r="C27" s="204"/>
      <c r="D27" s="223"/>
      <c r="E27" s="224" t="s">
        <v>116</v>
      </c>
      <c r="F27" s="225">
        <f>ROUNDUP(F25*B9,1)</f>
        <v>0</v>
      </c>
      <c r="G27" s="11"/>
      <c r="H27" s="4"/>
      <c r="K27" s="2"/>
      <c r="L27" s="3"/>
      <c r="M27" s="3"/>
      <c r="N27" s="3"/>
      <c r="AD27" s="360" t="s">
        <v>117</v>
      </c>
      <c r="AE27" s="349" t="e">
        <f>#REF!</f>
        <v>#REF!</v>
      </c>
      <c r="AF27" s="5" t="s">
        <v>118</v>
      </c>
      <c r="AG27" s="5"/>
      <c r="AH27" s="5"/>
      <c r="AI27" s="5"/>
      <c r="AJ27" s="5"/>
      <c r="AK27" s="5"/>
      <c r="AL27" s="266"/>
      <c r="AO27">
        <f>180*AP27/PI()</f>
        <v>189.07607239317167</v>
      </c>
      <c r="AP27">
        <v>3.3</v>
      </c>
      <c r="AQ27">
        <f>0.5*($AQ$1/2)^2*(AP27-SIN(AP27))</f>
        <v>0.432218211767906</v>
      </c>
      <c r="AR27">
        <f>$AQ$1*(1-COS(AP27/2))/2</f>
        <v>0.5395604444033669</v>
      </c>
      <c r="AS27" s="232" t="e">
        <f>AQ27/#REF!</f>
        <v>#REF!</v>
      </c>
      <c r="AT27">
        <f>AR27/$AQ$1</f>
        <v>0.5395604444033669</v>
      </c>
      <c r="AU27">
        <f>1-AT27</f>
        <v>0.4604395555966331</v>
      </c>
      <c r="AV27">
        <f>0.5-AT27</f>
        <v>-0.03956044440336692</v>
      </c>
      <c r="AW27" s="232" t="e">
        <f>$AQ27/#REF!</f>
        <v>#REF!</v>
      </c>
      <c r="AY27" t="e">
        <f t="shared" si="13"/>
        <v>#REF!</v>
      </c>
      <c r="AZ27" t="e">
        <f t="shared" si="6"/>
        <v>#REF!</v>
      </c>
      <c r="BA27" t="e">
        <f t="shared" si="7"/>
        <v>#REF!</v>
      </c>
      <c r="BB27" t="e">
        <f t="shared" si="8"/>
        <v>#REF!</v>
      </c>
      <c r="BC27" t="e">
        <f t="shared" si="9"/>
        <v>#REF!</v>
      </c>
      <c r="BD27" t="e">
        <f t="shared" si="10"/>
        <v>#REF!</v>
      </c>
      <c r="BE27" t="e">
        <f t="shared" si="11"/>
        <v>#REF!</v>
      </c>
      <c r="BF27" t="e">
        <f t="shared" si="14"/>
        <v>#REF!</v>
      </c>
      <c r="BG27" t="e">
        <f t="shared" si="12"/>
        <v>#REF!</v>
      </c>
    </row>
    <row r="28" spans="1:59" ht="20.25" customHeight="1" thickBot="1">
      <c r="A28" s="109"/>
      <c r="C28" s="7"/>
      <c r="D28" s="7"/>
      <c r="E28" s="18"/>
      <c r="F28" s="503"/>
      <c r="G28" s="11"/>
      <c r="H28" s="4"/>
      <c r="K28" s="2"/>
      <c r="L28" s="3"/>
      <c r="M28" s="3"/>
      <c r="N28" s="3"/>
      <c r="AD28" s="360" t="s">
        <v>119</v>
      </c>
      <c r="AE28" s="356" t="e">
        <f>IF(AE27&gt;0.35*(3.364-AE6),AE27,0.35*(3.364-AE6))</f>
        <v>#REF!</v>
      </c>
      <c r="AF28" s="5"/>
      <c r="AG28" s="5">
        <v>2</v>
      </c>
      <c r="AH28" s="5"/>
      <c r="AI28" s="5"/>
      <c r="AJ28" s="5"/>
      <c r="AK28" s="5"/>
      <c r="AL28" s="266"/>
      <c r="AO28">
        <f>180*AP28/PI()</f>
        <v>194.8056503444799</v>
      </c>
      <c r="AP28">
        <v>3.4</v>
      </c>
      <c r="AQ28">
        <f>0.5*($AQ$1/2)^2*(AP28-SIN(AP28))</f>
        <v>0.45694263775335386</v>
      </c>
      <c r="AR28">
        <f>$AQ$1*(1-COS(AP28/2))/2</f>
        <v>0.5644222471477623</v>
      </c>
      <c r="AS28" s="232" t="e">
        <f>AQ28/#REF!</f>
        <v>#REF!</v>
      </c>
      <c r="AT28">
        <f>AR28/$AQ$1</f>
        <v>0.5644222471477623</v>
      </c>
      <c r="AU28">
        <f>1-AT28</f>
        <v>0.43557775285223765</v>
      </c>
      <c r="AV28">
        <f>0.5-AT28</f>
        <v>-0.06442224714776235</v>
      </c>
      <c r="AW28" s="232" t="e">
        <f>$AQ28/#REF!</f>
        <v>#REF!</v>
      </c>
      <c r="AY28" t="e">
        <f t="shared" si="13"/>
        <v>#REF!</v>
      </c>
      <c r="AZ28" t="e">
        <f t="shared" si="6"/>
        <v>#REF!</v>
      </c>
      <c r="BA28" t="e">
        <f t="shared" si="7"/>
        <v>#REF!</v>
      </c>
      <c r="BB28" t="e">
        <f t="shared" si="8"/>
        <v>#REF!</v>
      </c>
      <c r="BC28" t="e">
        <f t="shared" si="9"/>
        <v>#REF!</v>
      </c>
      <c r="BD28" t="e">
        <f t="shared" si="10"/>
        <v>#REF!</v>
      </c>
      <c r="BE28" t="e">
        <f t="shared" si="11"/>
        <v>#REF!</v>
      </c>
      <c r="BF28" t="e">
        <f t="shared" si="14"/>
        <v>#REF!</v>
      </c>
      <c r="BG28" t="e">
        <f t="shared" si="12"/>
        <v>#REF!</v>
      </c>
    </row>
    <row r="29" spans="1:59" ht="20.25" customHeight="1">
      <c r="A29" s="247" t="s">
        <v>187</v>
      </c>
      <c r="B29" s="113"/>
      <c r="C29" s="183"/>
      <c r="D29" s="184"/>
      <c r="E29" s="185"/>
      <c r="F29" s="186"/>
      <c r="G29" s="11"/>
      <c r="H29" s="4"/>
      <c r="K29" s="2"/>
      <c r="L29" s="3"/>
      <c r="M29" s="3"/>
      <c r="N29" s="3"/>
      <c r="AD29" s="360" t="s">
        <v>120</v>
      </c>
      <c r="AE29" s="356" t="e">
        <f>PI()/2-(#REF!-PI()/2)*((0.3386+0.1041*AE27)+(1.54-2.5673*AE27)*AE6)</f>
        <v>#REF!</v>
      </c>
      <c r="AF29" s="5"/>
      <c r="AG29" s="5">
        <v>5</v>
      </c>
      <c r="AH29" s="5"/>
      <c r="AI29" s="5"/>
      <c r="AJ29" s="5"/>
      <c r="AK29" s="5"/>
      <c r="AL29" s="266"/>
      <c r="AO29">
        <f>180*AP29/PI()</f>
        <v>200.53522829578813</v>
      </c>
      <c r="AP29">
        <v>3.5</v>
      </c>
      <c r="AQ29">
        <f>0.5*($AQ$1/2)^2*(AP29-SIN(AP29))</f>
        <v>0.4813479034612025</v>
      </c>
      <c r="AR29">
        <f>$AQ$1*(1-COS(AP29/2))/2</f>
        <v>0.589123027824746</v>
      </c>
      <c r="AS29" s="232" t="e">
        <f>AQ29/#REF!</f>
        <v>#REF!</v>
      </c>
      <c r="AT29">
        <f>AR29/$AQ$1</f>
        <v>0.589123027824746</v>
      </c>
      <c r="AU29">
        <f>1-AT29</f>
        <v>0.410876972175254</v>
      </c>
      <c r="AV29">
        <f>0.5-AT29</f>
        <v>-0.08912302782474602</v>
      </c>
      <c r="AW29" s="232" t="e">
        <f>$AQ29/#REF!</f>
        <v>#REF!</v>
      </c>
      <c r="AY29" t="e">
        <f t="shared" si="13"/>
        <v>#REF!</v>
      </c>
      <c r="AZ29" t="e">
        <f t="shared" si="6"/>
        <v>#REF!</v>
      </c>
      <c r="BA29" t="e">
        <f t="shared" si="7"/>
        <v>#REF!</v>
      </c>
      <c r="BB29" t="e">
        <f t="shared" si="8"/>
        <v>#REF!</v>
      </c>
      <c r="BC29" t="e">
        <f t="shared" si="9"/>
        <v>#REF!</v>
      </c>
      <c r="BD29" t="e">
        <f t="shared" si="10"/>
        <v>#REF!</v>
      </c>
      <c r="BE29" t="e">
        <f t="shared" si="11"/>
        <v>#REF!</v>
      </c>
      <c r="BF29" t="e">
        <f t="shared" si="14"/>
        <v>#REF!</v>
      </c>
      <c r="BG29" t="e">
        <f t="shared" si="12"/>
        <v>#REF!</v>
      </c>
    </row>
    <row r="30" spans="1:11" ht="12.75">
      <c r="A30" s="34"/>
      <c r="B30" s="5"/>
      <c r="C30" s="187"/>
      <c r="D30" s="125"/>
      <c r="E30" s="188" t="s">
        <v>493</v>
      </c>
      <c r="F30" s="182" t="e">
        <f>F27/2/C5</f>
        <v>#DIV/0!</v>
      </c>
      <c r="H30" s="1"/>
      <c r="I30" s="1"/>
      <c r="J30" s="1"/>
      <c r="K30" s="1"/>
    </row>
    <row r="31" spans="1:11" ht="12.75">
      <c r="A31" s="48"/>
      <c r="B31" s="119"/>
      <c r="C31" s="187"/>
      <c r="D31" s="125"/>
      <c r="E31" s="189" t="s">
        <v>273</v>
      </c>
      <c r="F31" s="139">
        <f>IF(B7&gt;0,(B7-B9)^3*F24/(F7)^3-F30,)</f>
        <v>0</v>
      </c>
      <c r="H31" s="1"/>
      <c r="I31" s="1"/>
      <c r="J31" s="1"/>
      <c r="K31" s="1"/>
    </row>
    <row r="32" spans="1:11" ht="12.75">
      <c r="A32" s="34"/>
      <c r="B32" s="5"/>
      <c r="C32" s="187"/>
      <c r="D32" s="125"/>
      <c r="E32" s="144" t="s">
        <v>192</v>
      </c>
      <c r="F32" s="190" t="e">
        <f>F30+F31</f>
        <v>#DIV/0!</v>
      </c>
      <c r="H32" s="1"/>
      <c r="I32" s="1"/>
      <c r="J32" s="1"/>
      <c r="K32" s="1"/>
    </row>
    <row r="33" spans="1:11" ht="15.75">
      <c r="A33" s="101"/>
      <c r="B33" s="22"/>
      <c r="C33" s="187"/>
      <c r="D33" s="191"/>
      <c r="E33" s="605" t="s">
        <v>508</v>
      </c>
      <c r="F33" s="192"/>
      <c r="H33" s="1"/>
      <c r="I33" s="1"/>
      <c r="J33" s="1"/>
      <c r="K33" s="1"/>
    </row>
    <row r="34" spans="1:11" ht="21" thickBot="1">
      <c r="A34" s="117"/>
      <c r="B34" s="122"/>
      <c r="C34" s="193"/>
      <c r="D34" s="194"/>
      <c r="E34" s="195" t="s">
        <v>460</v>
      </c>
      <c r="F34" s="196" t="e">
        <f>ROUNDUP(F32/0.97,-1)</f>
        <v>#DIV/0!</v>
      </c>
      <c r="H34" s="1"/>
      <c r="I34" s="1"/>
      <c r="J34" s="1"/>
      <c r="K34" s="1"/>
    </row>
    <row r="35" spans="1:11" ht="16.5" thickTop="1">
      <c r="A35" s="561"/>
      <c r="B35" s="562"/>
      <c r="C35" s="563"/>
      <c r="D35" s="603" t="e">
        <f>IF(F34&gt;2800,"Check Max motor size with supplier","")</f>
        <v>#DIV/0!</v>
      </c>
      <c r="E35" s="562"/>
      <c r="F35" s="564"/>
      <c r="H35" s="1"/>
      <c r="I35" s="1"/>
      <c r="J35" s="1"/>
      <c r="K35" s="1"/>
    </row>
    <row r="36" spans="1:11" ht="18.75" thickBot="1">
      <c r="A36" s="565"/>
      <c r="B36" s="46"/>
      <c r="C36" s="566" t="s">
        <v>494</v>
      </c>
      <c r="D36" s="566"/>
      <c r="E36" s="566"/>
      <c r="F36" s="567" t="e">
        <f>F34*2</f>
        <v>#DIV/0!</v>
      </c>
      <c r="H36" s="1"/>
      <c r="I36" s="1"/>
      <c r="J36" s="1"/>
      <c r="K36" s="1"/>
    </row>
    <row r="37" spans="1:11" ht="16.5" thickTop="1">
      <c r="A37" s="561"/>
      <c r="B37" s="562"/>
      <c r="C37" s="563"/>
      <c r="D37" s="563"/>
      <c r="E37" s="562"/>
      <c r="F37" s="564"/>
      <c r="H37" s="1"/>
      <c r="I37" s="1"/>
      <c r="J37" s="1"/>
      <c r="K37" s="1"/>
    </row>
    <row r="38" spans="1:11" ht="16.5" thickBot="1">
      <c r="A38" s="565"/>
      <c r="B38" s="46"/>
      <c r="C38" s="474"/>
      <c r="D38" s="474"/>
      <c r="E38" s="46"/>
      <c r="F38" s="604"/>
      <c r="H38" s="1"/>
      <c r="I38" s="1"/>
      <c r="J38" s="1"/>
      <c r="K38" s="1"/>
    </row>
    <row r="39" spans="1:11" ht="16.5" thickTop="1">
      <c r="A39" s="16"/>
      <c r="B39" s="1"/>
      <c r="E39" s="1"/>
      <c r="H39" s="1"/>
      <c r="I39" s="1"/>
      <c r="J39" s="1"/>
      <c r="K39" s="1"/>
    </row>
    <row r="40" spans="1:11" ht="12.75">
      <c r="A40" s="7"/>
      <c r="B40" s="1"/>
      <c r="E40" s="1"/>
      <c r="H40" s="1"/>
      <c r="I40" s="1"/>
      <c r="J40" s="1"/>
      <c r="K40" s="1"/>
    </row>
    <row r="41" spans="1:11" ht="12.75">
      <c r="A41" s="7"/>
      <c r="B41" s="1"/>
      <c r="E41" s="1"/>
      <c r="H41" s="1"/>
      <c r="I41" s="1"/>
      <c r="J41" s="1"/>
      <c r="K41" s="1"/>
    </row>
    <row r="42" spans="1:11" ht="12.75">
      <c r="A42" s="7"/>
      <c r="B42" s="1"/>
      <c r="E42" s="1"/>
      <c r="H42" s="1"/>
      <c r="I42" s="1"/>
      <c r="J42" s="1"/>
      <c r="K42" s="1"/>
    </row>
    <row r="43" spans="1:11" ht="12.75">
      <c r="A43" s="7"/>
      <c r="B43" s="1"/>
      <c r="E43" s="1"/>
      <c r="F43" s="1"/>
      <c r="G43" s="1"/>
      <c r="H43" s="1"/>
      <c r="I43" s="1"/>
      <c r="J43" s="1"/>
      <c r="K43" s="1"/>
    </row>
    <row r="44" spans="1:11" ht="12.75">
      <c r="A44" s="7"/>
      <c r="B44" s="1"/>
      <c r="E44" s="1"/>
      <c r="F44" s="1"/>
      <c r="G44" s="1"/>
      <c r="H44" s="1"/>
      <c r="I44" s="1"/>
      <c r="J44" s="1"/>
      <c r="K44" s="1"/>
    </row>
    <row r="45" spans="1:11" ht="12.75">
      <c r="A45" s="7"/>
      <c r="B45" s="1"/>
      <c r="E45" s="1"/>
      <c r="F45" s="1"/>
      <c r="G45" s="1"/>
      <c r="H45" s="1"/>
      <c r="I45" s="1"/>
      <c r="J45" s="1"/>
      <c r="K45" s="1"/>
    </row>
    <row r="46" spans="1:11" ht="12.75">
      <c r="A46" s="7"/>
      <c r="B46" s="1"/>
      <c r="E46" s="1"/>
      <c r="F46" s="1"/>
      <c r="G46" s="1"/>
      <c r="H46" s="1"/>
      <c r="I46" s="1"/>
      <c r="J46" s="1"/>
      <c r="K46" s="1"/>
    </row>
    <row r="47" spans="1:11" ht="12.75">
      <c r="A47" s="7"/>
      <c r="B47" s="1"/>
      <c r="E47" s="1"/>
      <c r="F47" s="1"/>
      <c r="G47" s="1"/>
      <c r="H47" s="1"/>
      <c r="I47" s="1"/>
      <c r="J47" s="1"/>
      <c r="K47" s="1"/>
    </row>
    <row r="48" spans="1:11" ht="12.75">
      <c r="A48" s="7"/>
      <c r="B48" s="1"/>
      <c r="E48" s="1"/>
      <c r="F48" s="1"/>
      <c r="G48" s="1"/>
      <c r="H48" s="1"/>
      <c r="I48" s="1"/>
      <c r="J48" s="1"/>
      <c r="K48" s="1"/>
    </row>
    <row r="49" spans="1:11" ht="12.75">
      <c r="A49" s="7"/>
      <c r="B49" s="1"/>
      <c r="E49" s="1"/>
      <c r="F49" s="1"/>
      <c r="G49" s="1"/>
      <c r="H49" s="1"/>
      <c r="I49" s="1"/>
      <c r="J49" s="1"/>
      <c r="K49" s="1"/>
    </row>
    <row r="50" spans="1:11" ht="12.7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3" ht="12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</row>
    <row r="55" spans="1:13" ht="12.7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7:10" ht="12.75">
      <c r="G63" s="1"/>
      <c r="H63" s="1"/>
      <c r="I63" s="1"/>
      <c r="J63" s="1"/>
    </row>
    <row r="134" ht="12.75">
      <c r="R134" s="232"/>
    </row>
    <row r="135" spans="18:26" ht="12.75">
      <c r="R135" s="232"/>
      <c r="V135" t="s">
        <v>194</v>
      </c>
      <c r="Z135" s="368"/>
    </row>
    <row r="136" ht="12.75">
      <c r="R136" s="232"/>
    </row>
    <row r="137" spans="18:25" ht="12.75">
      <c r="R137" s="232"/>
      <c r="V137" t="s">
        <v>195</v>
      </c>
      <c r="X137" t="s">
        <v>196</v>
      </c>
      <c r="Y137" t="e">
        <f>AZ1</f>
        <v>#REF!</v>
      </c>
    </row>
    <row r="138" spans="18:25" ht="12.75">
      <c r="R138" s="232"/>
      <c r="X138" t="s">
        <v>197</v>
      </c>
      <c r="Y138" t="e">
        <f>AZ2</f>
        <v>#REF!</v>
      </c>
    </row>
    <row r="139" spans="18:25" ht="12.75">
      <c r="R139" s="232"/>
      <c r="V139" t="s">
        <v>198</v>
      </c>
      <c r="X139" t="s">
        <v>199</v>
      </c>
      <c r="Y139" t="e">
        <f>AZ3</f>
        <v>#REF!</v>
      </c>
    </row>
    <row r="140" spans="18:22" ht="12.75">
      <c r="R140" s="232"/>
      <c r="V140" t="s">
        <v>200</v>
      </c>
    </row>
    <row r="141" spans="18:25" ht="12.75">
      <c r="R141" s="232"/>
      <c r="X141" t="s">
        <v>201</v>
      </c>
      <c r="Y141" s="103" t="e">
        <f>AZ4</f>
        <v>#REF!</v>
      </c>
    </row>
    <row r="142" spans="18:25" ht="12.75">
      <c r="R142" s="232"/>
      <c r="X142" t="s">
        <v>202</v>
      </c>
      <c r="Y142" s="103" t="e">
        <f>BD3</f>
        <v>#REF!</v>
      </c>
    </row>
    <row r="143" spans="18:25" ht="12.75">
      <c r="R143" s="232"/>
      <c r="X143" t="s">
        <v>203</v>
      </c>
      <c r="Y143" s="369" t="e">
        <f>BE3</f>
        <v>#REF!</v>
      </c>
    </row>
    <row r="144" ht="12.75">
      <c r="R144" s="232"/>
    </row>
    <row r="145" ht="12.75">
      <c r="R145" s="232"/>
    </row>
    <row r="146" ht="12.75">
      <c r="R146" s="232"/>
    </row>
    <row r="147" ht="12.75">
      <c r="R147" s="232"/>
    </row>
    <row r="148" ht="12.75">
      <c r="R148" s="232"/>
    </row>
    <row r="149" ht="12.75">
      <c r="R149" s="232"/>
    </row>
    <row r="150" ht="12.75">
      <c r="R150" s="232"/>
    </row>
    <row r="151" ht="12.75">
      <c r="R151" s="232"/>
    </row>
    <row r="152" ht="12.75">
      <c r="R152" s="232"/>
    </row>
    <row r="153" ht="12.75">
      <c r="R153" s="232"/>
    </row>
    <row r="154" ht="12.75">
      <c r="R154" s="232"/>
    </row>
    <row r="155" ht="12.75">
      <c r="R155" s="232"/>
    </row>
    <row r="156" ht="12.75">
      <c r="R156" s="232"/>
    </row>
    <row r="157" ht="12.75">
      <c r="R157" s="232"/>
    </row>
    <row r="158" ht="12.75">
      <c r="R158" s="232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2" horizontalDpi="300" verticalDpi="300" orientation="portrait" paperSize="9" scale="60" r:id="rId3"/>
  <headerFooter alignWithMargins="0">
    <oddHeader xml:space="preserve">&amp;C  </oddHeader>
    <oddFooter>&amp;L           &amp;A &amp;F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9"/>
  <sheetViews>
    <sheetView showZeros="0" zoomScale="75" zoomScaleNormal="75" workbookViewId="0" topLeftCell="A1">
      <selection activeCell="H18" sqref="H18"/>
    </sheetView>
  </sheetViews>
  <sheetFormatPr defaultColWidth="9.140625" defaultRowHeight="12.75"/>
  <cols>
    <col min="1" max="1" width="30.00390625" style="0" customWidth="1"/>
    <col min="2" max="2" width="7.7109375" style="0" customWidth="1"/>
    <col min="3" max="3" width="9.8515625" style="0" customWidth="1"/>
    <col min="4" max="4" width="15.7109375" style="0" customWidth="1"/>
    <col min="5" max="5" width="8.7109375" style="0" customWidth="1"/>
    <col min="6" max="6" width="10.00390625" style="0" customWidth="1"/>
    <col min="14" max="14" width="10.421875" style="0" customWidth="1"/>
    <col min="24" max="24" width="20.8515625" style="0" customWidth="1"/>
  </cols>
  <sheetData>
    <row r="1" spans="1:53" ht="15" customHeight="1" thickBot="1" thickTop="1">
      <c r="A1" s="241" t="s">
        <v>0</v>
      </c>
      <c r="B1" s="478"/>
      <c r="C1" s="476"/>
      <c r="D1" s="477"/>
      <c r="E1" s="240" t="s">
        <v>1</v>
      </c>
      <c r="F1" s="430"/>
      <c r="O1" s="4"/>
      <c r="P1" s="4"/>
      <c r="Q1" s="2"/>
      <c r="AD1" s="361" t="s">
        <v>2</v>
      </c>
      <c r="AE1" s="362" t="s">
        <v>3</v>
      </c>
      <c r="AF1" s="363" t="s">
        <v>4</v>
      </c>
      <c r="AG1" s="363"/>
      <c r="AH1" s="344"/>
      <c r="AI1" s="344"/>
      <c r="AJ1" s="344"/>
      <c r="AK1" s="344"/>
      <c r="AL1" s="345"/>
      <c r="AP1" t="s">
        <v>5</v>
      </c>
      <c r="AQ1">
        <v>1</v>
      </c>
      <c r="AS1" s="232"/>
      <c r="AY1" t="s">
        <v>6</v>
      </c>
      <c r="AZ1" s="367">
        <f>'Autogenous Mill'!$F$62</f>
        <v>0</v>
      </c>
      <c r="BA1">
        <f>AZ1/4</f>
        <v>0</v>
      </c>
    </row>
    <row r="2" spans="1:52" ht="15" customHeight="1">
      <c r="A2" s="485" t="s">
        <v>7</v>
      </c>
      <c r="B2" s="486"/>
      <c r="C2" s="491" t="s">
        <v>8</v>
      </c>
      <c r="D2" s="489"/>
      <c r="E2" s="490"/>
      <c r="F2" s="492"/>
      <c r="J2" s="577" t="s">
        <v>5</v>
      </c>
      <c r="K2" s="574" t="s">
        <v>495</v>
      </c>
      <c r="L2" s="574" t="s">
        <v>317</v>
      </c>
      <c r="M2" s="574" t="s">
        <v>13</v>
      </c>
      <c r="N2" s="574" t="s">
        <v>496</v>
      </c>
      <c r="O2" s="574" t="s">
        <v>12</v>
      </c>
      <c r="P2" s="575" t="s">
        <v>497</v>
      </c>
      <c r="Q2" s="575" t="s">
        <v>498</v>
      </c>
      <c r="R2" s="576" t="s">
        <v>499</v>
      </c>
      <c r="S2" s="577" t="s">
        <v>239</v>
      </c>
      <c r="AD2" s="482"/>
      <c r="AE2" s="483"/>
      <c r="AF2" s="484"/>
      <c r="AG2" s="484"/>
      <c r="AH2" s="5"/>
      <c r="AI2" s="5"/>
      <c r="AJ2" s="5"/>
      <c r="AK2" s="5"/>
      <c r="AL2" s="266"/>
      <c r="AS2" s="232"/>
      <c r="AZ2" s="367"/>
    </row>
    <row r="3" spans="1:57" ht="15" customHeight="1">
      <c r="A3" s="493"/>
      <c r="B3" s="495" t="s">
        <v>9</v>
      </c>
      <c r="C3" s="533"/>
      <c r="D3" s="480"/>
      <c r="E3" s="124" t="s">
        <v>10</v>
      </c>
      <c r="F3" s="237"/>
      <c r="J3" s="588">
        <f>B58</f>
        <v>0</v>
      </c>
      <c r="K3" s="589"/>
      <c r="L3" s="590">
        <f>B59</f>
        <v>0</v>
      </c>
      <c r="M3" s="589" t="s">
        <v>502</v>
      </c>
      <c r="N3" s="591">
        <f>F71/1000</f>
        <v>0</v>
      </c>
      <c r="O3" s="589" t="s">
        <v>500</v>
      </c>
      <c r="P3" s="592">
        <f>L3*(11.7*(J3)-13.9)+N3</f>
        <v>0</v>
      </c>
      <c r="Q3" s="593">
        <f>P3*3/2.2</f>
        <v>0</v>
      </c>
      <c r="R3" s="594"/>
      <c r="S3" s="595">
        <f>F90</f>
        <v>0</v>
      </c>
      <c r="AD3" s="268" t="s">
        <v>6</v>
      </c>
      <c r="AE3" s="346">
        <f>$F$62</f>
        <v>0</v>
      </c>
      <c r="AF3" s="5"/>
      <c r="AG3" s="5"/>
      <c r="AH3" s="5"/>
      <c r="AI3" s="5"/>
      <c r="AJ3" s="5"/>
      <c r="AK3" s="5"/>
      <c r="AL3" s="266"/>
      <c r="AP3" s="4" t="s">
        <v>11</v>
      </c>
      <c r="AQ3" s="4" t="s">
        <v>12</v>
      </c>
      <c r="AR3" t="s">
        <v>13</v>
      </c>
      <c r="AS3" s="232" t="s">
        <v>14</v>
      </c>
      <c r="AT3" t="s">
        <v>13</v>
      </c>
      <c r="AU3" t="s">
        <v>15</v>
      </c>
      <c r="AV3" t="s">
        <v>16</v>
      </c>
      <c r="AW3" t="s">
        <v>12</v>
      </c>
      <c r="AY3" t="s">
        <v>17</v>
      </c>
      <c r="AZ3" s="367">
        <f>'Autogenous Mill'!$B$68*100</f>
        <v>0</v>
      </c>
      <c r="BA3">
        <f>AZ3/100</f>
        <v>0</v>
      </c>
      <c r="BD3" s="4" t="s">
        <v>18</v>
      </c>
      <c r="BE3" s="4" t="s">
        <v>19</v>
      </c>
    </row>
    <row r="4" spans="1:57" ht="15" customHeight="1">
      <c r="A4" s="34"/>
      <c r="B4" s="496" t="s">
        <v>20</v>
      </c>
      <c r="C4" s="488"/>
      <c r="D4" s="481"/>
      <c r="E4" s="124" t="s">
        <v>21</v>
      </c>
      <c r="F4" s="238"/>
      <c r="H4" s="217"/>
      <c r="O4" s="2"/>
      <c r="P4" s="2"/>
      <c r="Q4" s="2"/>
      <c r="AD4" s="268" t="s">
        <v>22</v>
      </c>
      <c r="AE4" s="347">
        <v>0.4</v>
      </c>
      <c r="AF4" s="5" t="s">
        <v>23</v>
      </c>
      <c r="AG4" s="5"/>
      <c r="AH4" s="5"/>
      <c r="AI4" s="5"/>
      <c r="AJ4" s="5"/>
      <c r="AK4" s="5"/>
      <c r="AL4" s="266"/>
      <c r="AO4">
        <f aca="true" t="shared" si="0" ref="AO4:AO35">180*AP4/PI()</f>
        <v>5.729577951308232</v>
      </c>
      <c r="AP4">
        <v>0.1</v>
      </c>
      <c r="AQ4">
        <f aca="true" t="shared" si="1" ref="AQ4:AQ35">0.5*($AQ$1/2)^2*(AP4-SIN(AP4))</f>
        <v>2.082291914648135E-05</v>
      </c>
      <c r="AR4">
        <f aca="true" t="shared" si="2" ref="AR4:AR35">$AQ$1*(1-COS(AP4/2))/2</f>
        <v>0.0006248698025168586</v>
      </c>
      <c r="AS4" s="232">
        <f>$AQ4/$AQ$68</f>
        <v>2.651256409412302E-05</v>
      </c>
      <c r="AT4">
        <f aca="true" t="shared" si="3" ref="AT4:AT35">AR4/$AQ$1</f>
        <v>0.0006248698025168586</v>
      </c>
      <c r="AU4">
        <f aca="true" t="shared" si="4" ref="AU4:AU35">1-AT4</f>
        <v>0.9993751301974831</v>
      </c>
      <c r="AV4">
        <f aca="true" t="shared" si="5" ref="AV4:AV35">0.5-AT4</f>
        <v>0.49937513019748314</v>
      </c>
      <c r="AW4" s="232">
        <f aca="true" t="shared" si="6" ref="AW4:AW17">$AQ4/$AQ$68</f>
        <v>2.651256409412302E-05</v>
      </c>
      <c r="AY4" t="s">
        <v>24</v>
      </c>
      <c r="AZ4" s="367">
        <f>'Autogenous Mill'!$B$69</f>
        <v>15</v>
      </c>
      <c r="BD4">
        <f>SUM(BD7:BD151)</f>
        <v>1.0939185236484793E-05</v>
      </c>
      <c r="BE4">
        <f>SUM(BE7:BE151)</f>
        <v>5.4695926182423965E-06</v>
      </c>
    </row>
    <row r="5" spans="1:57" ht="15" customHeight="1" thickBot="1">
      <c r="A5" s="60"/>
      <c r="B5" s="494" t="s">
        <v>25</v>
      </c>
      <c r="C5" s="479"/>
      <c r="D5" s="474"/>
      <c r="E5" s="236" t="s">
        <v>26</v>
      </c>
      <c r="F5" s="239"/>
      <c r="I5" s="1"/>
      <c r="J5" s="1"/>
      <c r="K5" s="1"/>
      <c r="L5" s="1"/>
      <c r="M5" s="1"/>
      <c r="N5" s="1"/>
      <c r="O5" s="2"/>
      <c r="P5" s="2"/>
      <c r="Q5" s="2"/>
      <c r="AD5" s="268" t="s">
        <v>27</v>
      </c>
      <c r="AE5" s="348">
        <v>9.814</v>
      </c>
      <c r="AF5" s="5"/>
      <c r="AG5" s="5"/>
      <c r="AH5" s="5"/>
      <c r="AI5" s="5"/>
      <c r="AJ5" s="5"/>
      <c r="AK5" s="5"/>
      <c r="AL5" s="266"/>
      <c r="AO5">
        <f t="shared" si="0"/>
        <v>11.459155902616464</v>
      </c>
      <c r="AP5">
        <v>0.2</v>
      </c>
      <c r="AQ5">
        <f t="shared" si="1"/>
        <v>0.00016633365061734934</v>
      </c>
      <c r="AR5">
        <f t="shared" si="2"/>
        <v>0.0024979173609870897</v>
      </c>
      <c r="AS5" s="232">
        <f aca="true" t="shared" si="7" ref="AS5:AS36">AQ5/$AQ$68</f>
        <v>0.0002117825815861715</v>
      </c>
      <c r="AT5">
        <f t="shared" si="3"/>
        <v>0.0024979173609870897</v>
      </c>
      <c r="AU5">
        <f t="shared" si="4"/>
        <v>0.9975020826390129</v>
      </c>
      <c r="AV5">
        <f t="shared" si="5"/>
        <v>0.4975020826390129</v>
      </c>
      <c r="AW5" s="232">
        <f t="shared" si="6"/>
        <v>0.0002117825815861715</v>
      </c>
      <c r="AY5" t="s">
        <v>16</v>
      </c>
      <c r="AZ5">
        <f>AZ1*(13.374*BA3^4-15.609*BA3^3+6.5673*BA3^2-2.0224*BA3+0.5)</f>
        <v>0</v>
      </c>
      <c r="BE5" s="234">
        <f>BE4/BD4</f>
        <v>0.5</v>
      </c>
    </row>
    <row r="6" spans="4:58" ht="13.5" thickTop="1">
      <c r="D6" s="18"/>
      <c r="E6" s="7"/>
      <c r="F6" s="7"/>
      <c r="I6" s="1"/>
      <c r="J6" s="1"/>
      <c r="K6" s="1"/>
      <c r="L6" s="1"/>
      <c r="M6" s="1"/>
      <c r="N6" s="1"/>
      <c r="O6" s="2"/>
      <c r="P6" s="2"/>
      <c r="Q6" s="2"/>
      <c r="AD6" s="268" t="s">
        <v>28</v>
      </c>
      <c r="AE6" s="346">
        <f>$B$67</f>
        <v>0</v>
      </c>
      <c r="AF6" s="5" t="s">
        <v>29</v>
      </c>
      <c r="AG6" s="5"/>
      <c r="AH6" s="5"/>
      <c r="AI6" s="5"/>
      <c r="AJ6" s="5"/>
      <c r="AK6" s="5"/>
      <c r="AL6" s="266"/>
      <c r="AO6">
        <f t="shared" si="0"/>
        <v>17.188733853924695</v>
      </c>
      <c r="AP6">
        <v>0.3</v>
      </c>
      <c r="AQ6">
        <f t="shared" si="1"/>
        <v>0.0005599741673325553</v>
      </c>
      <c r="AR6">
        <f t="shared" si="2"/>
        <v>0.005614461031978879</v>
      </c>
      <c r="AS6" s="232">
        <f t="shared" si="7"/>
        <v>0.0007129812538779546</v>
      </c>
      <c r="AT6">
        <f t="shared" si="3"/>
        <v>0.005614461031978879</v>
      </c>
      <c r="AU6">
        <f t="shared" si="4"/>
        <v>0.9943855389680212</v>
      </c>
      <c r="AV6">
        <f t="shared" si="5"/>
        <v>0.4943855389680211</v>
      </c>
      <c r="AW6" s="232">
        <f t="shared" si="6"/>
        <v>0.0007129812538779546</v>
      </c>
      <c r="AZ6" t="s">
        <v>30</v>
      </c>
      <c r="BA6" t="s">
        <v>31</v>
      </c>
      <c r="BB6" t="s">
        <v>32</v>
      </c>
      <c r="BC6" t="s">
        <v>33</v>
      </c>
      <c r="BD6" t="s">
        <v>17</v>
      </c>
      <c r="BF6" t="s">
        <v>34</v>
      </c>
    </row>
    <row r="7" spans="1:5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AD7" s="268" t="s">
        <v>35</v>
      </c>
      <c r="AE7" s="346">
        <f>$B$68</f>
        <v>0</v>
      </c>
      <c r="AF7" s="5" t="s">
        <v>36</v>
      </c>
      <c r="AG7" s="5"/>
      <c r="AH7" s="5"/>
      <c r="AI7" s="5"/>
      <c r="AJ7" s="5"/>
      <c r="AK7" s="5"/>
      <c r="AL7" s="266"/>
      <c r="AO7">
        <f t="shared" si="0"/>
        <v>22.91831180523293</v>
      </c>
      <c r="AP7">
        <v>0.4</v>
      </c>
      <c r="AQ7">
        <f t="shared" si="1"/>
        <v>0.0013227072114186875</v>
      </c>
      <c r="AR7">
        <f t="shared" si="2"/>
        <v>0.009966711079379187</v>
      </c>
      <c r="AS7" s="232">
        <f t="shared" si="7"/>
        <v>0.0016841231276846463</v>
      </c>
      <c r="AT7">
        <f t="shared" si="3"/>
        <v>0.009966711079379187</v>
      </c>
      <c r="AU7">
        <f t="shared" si="4"/>
        <v>0.9900332889206208</v>
      </c>
      <c r="AV7">
        <f t="shared" si="5"/>
        <v>0.4900332889206208</v>
      </c>
      <c r="AW7" s="232">
        <f t="shared" si="6"/>
        <v>0.0016841231276846463</v>
      </c>
      <c r="AY7">
        <v>1</v>
      </c>
      <c r="AZ7">
        <f aca="true" t="shared" si="8" ref="AZ7:AZ38">(AY7/100-0.005)/TAN($AZ$4*PI()/180)</f>
        <v>0.01866025403784439</v>
      </c>
      <c r="BA7">
        <f aca="true" t="shared" si="9" ref="BA7:BA38">$AZ$1-2*AZ7</f>
        <v>-0.03732050807568878</v>
      </c>
      <c r="BB7">
        <f aca="true" t="shared" si="10" ref="BB7:BB38">IF($AZ$5/BA7&lt;0.5,$AZ$5/BA7,0.5)</f>
        <v>0</v>
      </c>
      <c r="BC7">
        <f aca="true" t="shared" si="11" ref="BC7:BC38">IF(BF7+BG7=2,3.1316*BB7^4-1.453*BB7^3+0.5868*BB7^2-1.3257*BB7+0.5,0)</f>
        <v>0.5</v>
      </c>
      <c r="BD7">
        <f aca="true" t="shared" si="12" ref="BD7:BD38">IF(BF7+BG7=2,(PI()*BA7^2/4),0)*0.01</f>
        <v>1.0939185236484793E-05</v>
      </c>
      <c r="BE7">
        <f aca="true" t="shared" si="13" ref="BE7:BE38">BD7*BC7</f>
        <v>5.4695926182423965E-06</v>
      </c>
      <c r="BF7">
        <v>1</v>
      </c>
      <c r="BG7">
        <f aca="true" t="shared" si="14" ref="BG7:BG38">IF(BB7=0.5,0,1)</f>
        <v>1</v>
      </c>
    </row>
    <row r="8" spans="1:59" ht="21.75" thickBot="1" thickTop="1">
      <c r="A8" s="426" t="s">
        <v>37</v>
      </c>
      <c r="B8" s="427"/>
      <c r="C8" s="427"/>
      <c r="D8" s="427"/>
      <c r="E8" s="427"/>
      <c r="F8" s="428" t="s">
        <v>38</v>
      </c>
      <c r="G8" s="13"/>
      <c r="H8" s="1"/>
      <c r="I8" s="1"/>
      <c r="J8" s="1"/>
      <c r="K8" s="1"/>
      <c r="L8" s="1"/>
      <c r="M8" s="1"/>
      <c r="N8" s="1"/>
      <c r="O8" s="2"/>
      <c r="P8" s="2"/>
      <c r="Q8" s="2"/>
      <c r="AD8" s="268" t="s">
        <v>39</v>
      </c>
      <c r="AE8" s="347">
        <v>1.26</v>
      </c>
      <c r="AF8" s="5"/>
      <c r="AG8" s="5"/>
      <c r="AH8" s="5"/>
      <c r="AI8" s="5"/>
      <c r="AJ8" s="5"/>
      <c r="AK8" s="5"/>
      <c r="AL8" s="266"/>
      <c r="AO8">
        <f t="shared" si="0"/>
        <v>28.64788975654116</v>
      </c>
      <c r="AP8">
        <v>0.5</v>
      </c>
      <c r="AQ8">
        <f t="shared" si="1"/>
        <v>0.0025718076744746243</v>
      </c>
      <c r="AR8">
        <f t="shared" si="2"/>
        <v>0.015543789144677633</v>
      </c>
      <c r="AS8" s="232">
        <f t="shared" si="7"/>
        <v>0.003274527232594468</v>
      </c>
      <c r="AT8">
        <f t="shared" si="3"/>
        <v>0.015543789144677633</v>
      </c>
      <c r="AU8">
        <f t="shared" si="4"/>
        <v>0.9844562108553223</v>
      </c>
      <c r="AV8">
        <f t="shared" si="5"/>
        <v>0.48445621085532237</v>
      </c>
      <c r="AW8" s="232">
        <f t="shared" si="6"/>
        <v>0.003274527232594468</v>
      </c>
      <c r="AY8">
        <f aca="true" t="shared" si="15" ref="AY8:AY39">IF(BA7-($AZ$1/4)&gt;0,AY7+1,AY7)</f>
        <v>1</v>
      </c>
      <c r="AZ8">
        <f t="shared" si="8"/>
        <v>0.01866025403784439</v>
      </c>
      <c r="BA8">
        <f t="shared" si="9"/>
        <v>-0.03732050807568878</v>
      </c>
      <c r="BB8">
        <f t="shared" si="10"/>
        <v>0</v>
      </c>
      <c r="BC8">
        <f t="shared" si="11"/>
        <v>0</v>
      </c>
      <c r="BD8">
        <f t="shared" si="12"/>
        <v>0</v>
      </c>
      <c r="BE8">
        <f t="shared" si="13"/>
        <v>0</v>
      </c>
      <c r="BF8">
        <f aca="true" t="shared" si="16" ref="BF8:BF39">AY8-AY7</f>
        <v>0</v>
      </c>
      <c r="BG8">
        <f t="shared" si="14"/>
        <v>1</v>
      </c>
    </row>
    <row r="9" spans="1:59" ht="12.75">
      <c r="A9" s="34"/>
      <c r="B9" s="5"/>
      <c r="C9" s="5"/>
      <c r="D9" s="9"/>
      <c r="E9" s="9"/>
      <c r="F9" s="246"/>
      <c r="G9" s="9"/>
      <c r="H9" s="2"/>
      <c r="K9" s="1"/>
      <c r="L9" s="1"/>
      <c r="M9" s="1"/>
      <c r="N9" s="1"/>
      <c r="O9" s="2"/>
      <c r="P9" s="2"/>
      <c r="Q9" s="2"/>
      <c r="AD9" s="268" t="s">
        <v>40</v>
      </c>
      <c r="AE9" s="346">
        <f>$B$59</f>
        <v>0</v>
      </c>
      <c r="AF9" s="5"/>
      <c r="AG9" s="5"/>
      <c r="AH9" s="5"/>
      <c r="AI9" s="5"/>
      <c r="AJ9" s="5"/>
      <c r="AK9" s="5"/>
      <c r="AL9" s="266"/>
      <c r="AO9">
        <f t="shared" si="0"/>
        <v>34.37746770784939</v>
      </c>
      <c r="AP9">
        <v>0.6</v>
      </c>
      <c r="AQ9">
        <f t="shared" si="1"/>
        <v>0.004419690825620576</v>
      </c>
      <c r="AR9">
        <f t="shared" si="2"/>
        <v>0.02233175543719701</v>
      </c>
      <c r="AS9" s="232">
        <f t="shared" si="7"/>
        <v>0.005627325134683317</v>
      </c>
      <c r="AT9">
        <f t="shared" si="3"/>
        <v>0.02233175543719701</v>
      </c>
      <c r="AU9">
        <f t="shared" si="4"/>
        <v>0.977668244562803</v>
      </c>
      <c r="AV9">
        <f t="shared" si="5"/>
        <v>0.477668244562803</v>
      </c>
      <c r="AW9" s="232">
        <f t="shared" si="6"/>
        <v>0.005627325134683317</v>
      </c>
      <c r="AY9">
        <f t="shared" si="15"/>
        <v>1</v>
      </c>
      <c r="AZ9">
        <f t="shared" si="8"/>
        <v>0.01866025403784439</v>
      </c>
      <c r="BA9">
        <f t="shared" si="9"/>
        <v>-0.03732050807568878</v>
      </c>
      <c r="BB9">
        <f t="shared" si="10"/>
        <v>0</v>
      </c>
      <c r="BC9">
        <f t="shared" si="11"/>
        <v>0</v>
      </c>
      <c r="BD9">
        <f t="shared" si="12"/>
        <v>0</v>
      </c>
      <c r="BE9">
        <f t="shared" si="13"/>
        <v>0</v>
      </c>
      <c r="BF9">
        <f t="shared" si="16"/>
        <v>0</v>
      </c>
      <c r="BG9">
        <f t="shared" si="14"/>
        <v>1</v>
      </c>
    </row>
    <row r="10" spans="1:59" ht="12.75">
      <c r="A10" s="35" t="s">
        <v>41</v>
      </c>
      <c r="B10" s="431"/>
      <c r="C10" s="49"/>
      <c r="D10" s="20" t="s">
        <v>42</v>
      </c>
      <c r="F10" s="58"/>
      <c r="G10" s="12"/>
      <c r="H10" s="9"/>
      <c r="K10" s="1"/>
      <c r="L10" s="1"/>
      <c r="M10" s="1"/>
      <c r="N10" s="1"/>
      <c r="O10" s="2"/>
      <c r="P10" s="2"/>
      <c r="AD10" s="268" t="s">
        <v>43</v>
      </c>
      <c r="AE10" s="348"/>
      <c r="AF10" s="5"/>
      <c r="AG10" s="5"/>
      <c r="AH10" s="5"/>
      <c r="AI10" s="5"/>
      <c r="AJ10" s="5"/>
      <c r="AK10" s="5"/>
      <c r="AL10" s="266"/>
      <c r="AO10">
        <f t="shared" si="0"/>
        <v>40.10704565915762</v>
      </c>
      <c r="AP10">
        <v>0.7</v>
      </c>
      <c r="AQ10">
        <f t="shared" si="1"/>
        <v>0.006972789095288617</v>
      </c>
      <c r="AR10">
        <f t="shared" si="2"/>
        <v>0.030313643576310556</v>
      </c>
      <c r="AS10" s="232">
        <f t="shared" si="7"/>
        <v>0.008878030813219586</v>
      </c>
      <c r="AT10">
        <f t="shared" si="3"/>
        <v>0.030313643576310556</v>
      </c>
      <c r="AU10">
        <f t="shared" si="4"/>
        <v>0.9696863564236895</v>
      </c>
      <c r="AV10">
        <f t="shared" si="5"/>
        <v>0.46968635642368944</v>
      </c>
      <c r="AW10" s="232">
        <f t="shared" si="6"/>
        <v>0.008878030813219586</v>
      </c>
      <c r="AY10">
        <f t="shared" si="15"/>
        <v>1</v>
      </c>
      <c r="AZ10">
        <f t="shared" si="8"/>
        <v>0.01866025403784439</v>
      </c>
      <c r="BA10">
        <f t="shared" si="9"/>
        <v>-0.03732050807568878</v>
      </c>
      <c r="BB10">
        <f t="shared" si="10"/>
        <v>0</v>
      </c>
      <c r="BC10">
        <f t="shared" si="11"/>
        <v>0</v>
      </c>
      <c r="BD10">
        <f t="shared" si="12"/>
        <v>0</v>
      </c>
      <c r="BE10">
        <f t="shared" si="13"/>
        <v>0</v>
      </c>
      <c r="BF10">
        <f t="shared" si="16"/>
        <v>0</v>
      </c>
      <c r="BG10">
        <f t="shared" si="14"/>
        <v>1</v>
      </c>
    </row>
    <row r="11" spans="1:59" ht="25.5">
      <c r="A11" s="35" t="s">
        <v>44</v>
      </c>
      <c r="B11" s="432"/>
      <c r="E11" s="212" t="s">
        <v>45</v>
      </c>
      <c r="F11" s="213" t="s">
        <v>46</v>
      </c>
      <c r="G11" s="12"/>
      <c r="H11" s="9"/>
      <c r="I11" s="9"/>
      <c r="J11" s="9"/>
      <c r="K11" s="1"/>
      <c r="L11" s="1"/>
      <c r="M11" s="1"/>
      <c r="N11" s="1"/>
      <c r="O11" s="2"/>
      <c r="P11" s="2"/>
      <c r="AD11" s="268" t="s">
        <v>47</v>
      </c>
      <c r="AE11" s="364">
        <f>AE3*TAN(0.75*$B$69*PI()/180)</f>
        <v>0</v>
      </c>
      <c r="AF11" s="5"/>
      <c r="AG11" s="5"/>
      <c r="AH11" s="5"/>
      <c r="AI11" s="5"/>
      <c r="AJ11" s="5"/>
      <c r="AK11" s="5"/>
      <c r="AL11" s="266"/>
      <c r="AO11">
        <f t="shared" si="0"/>
        <v>45.83662361046586</v>
      </c>
      <c r="AP11">
        <v>0.8</v>
      </c>
      <c r="AQ11">
        <f t="shared" si="1"/>
        <v>0.010330488637559657</v>
      </c>
      <c r="AR11">
        <f t="shared" si="2"/>
        <v>0.03946950299855745</v>
      </c>
      <c r="AS11" s="232">
        <f t="shared" si="7"/>
        <v>0.013153186649778228</v>
      </c>
      <c r="AT11">
        <f t="shared" si="3"/>
        <v>0.03946950299855745</v>
      </c>
      <c r="AU11">
        <f t="shared" si="4"/>
        <v>0.9605304970014426</v>
      </c>
      <c r="AV11">
        <f t="shared" si="5"/>
        <v>0.46053049700144255</v>
      </c>
      <c r="AW11" s="232">
        <f t="shared" si="6"/>
        <v>0.013153186649778228</v>
      </c>
      <c r="AY11">
        <f t="shared" si="15"/>
        <v>1</v>
      </c>
      <c r="AZ11">
        <f t="shared" si="8"/>
        <v>0.01866025403784439</v>
      </c>
      <c r="BA11">
        <f t="shared" si="9"/>
        <v>-0.03732050807568878</v>
      </c>
      <c r="BB11">
        <f t="shared" si="10"/>
        <v>0</v>
      </c>
      <c r="BC11">
        <f t="shared" si="11"/>
        <v>0</v>
      </c>
      <c r="BD11">
        <f t="shared" si="12"/>
        <v>0</v>
      </c>
      <c r="BE11">
        <f t="shared" si="13"/>
        <v>0</v>
      </c>
      <c r="BF11">
        <f t="shared" si="16"/>
        <v>0</v>
      </c>
      <c r="BG11">
        <f t="shared" si="14"/>
        <v>1</v>
      </c>
    </row>
    <row r="12" spans="1:59" ht="15.75">
      <c r="A12" s="72" t="s">
        <v>48</v>
      </c>
      <c r="B12" s="431"/>
      <c r="C12" s="49"/>
      <c r="D12" s="75" t="s">
        <v>48</v>
      </c>
      <c r="E12" s="433">
        <v>14000</v>
      </c>
      <c r="F12" s="36">
        <f>IF(B13&gt;0,E13,)</f>
        <v>0</v>
      </c>
      <c r="G12" s="104" t="s">
        <v>49</v>
      </c>
      <c r="H12" s="373"/>
      <c r="I12" s="217"/>
      <c r="J12" s="217"/>
      <c r="K12" s="2"/>
      <c r="AD12" s="268" t="s">
        <v>50</v>
      </c>
      <c r="AE12" s="348"/>
      <c r="AF12" s="5"/>
      <c r="AG12" s="5"/>
      <c r="AH12" s="5"/>
      <c r="AI12" s="5"/>
      <c r="AJ12" s="5"/>
      <c r="AK12" s="5"/>
      <c r="AL12" s="266"/>
      <c r="AO12">
        <f t="shared" si="0"/>
        <v>51.56620156177409</v>
      </c>
      <c r="AP12">
        <v>0.9</v>
      </c>
      <c r="AQ12">
        <f t="shared" si="1"/>
        <v>0.014584136296564576</v>
      </c>
      <c r="AR12">
        <f t="shared" si="2"/>
        <v>0.04977644882366156</v>
      </c>
      <c r="AS12" s="232">
        <f t="shared" si="7"/>
        <v>0.018569099058593445</v>
      </c>
      <c r="AT12">
        <f t="shared" si="3"/>
        <v>0.04977644882366156</v>
      </c>
      <c r="AU12">
        <f t="shared" si="4"/>
        <v>0.9502235511763384</v>
      </c>
      <c r="AV12">
        <f t="shared" si="5"/>
        <v>0.45022355117633844</v>
      </c>
      <c r="AW12" s="232">
        <f t="shared" si="6"/>
        <v>0.018569099058593445</v>
      </c>
      <c r="AY12">
        <f t="shared" si="15"/>
        <v>1</v>
      </c>
      <c r="AZ12">
        <f t="shared" si="8"/>
        <v>0.01866025403784439</v>
      </c>
      <c r="BA12">
        <f t="shared" si="9"/>
        <v>-0.03732050807568878</v>
      </c>
      <c r="BB12">
        <f t="shared" si="10"/>
        <v>0</v>
      </c>
      <c r="BC12">
        <f t="shared" si="11"/>
        <v>0</v>
      </c>
      <c r="BD12">
        <f t="shared" si="12"/>
        <v>0</v>
      </c>
      <c r="BE12">
        <f t="shared" si="13"/>
        <v>0</v>
      </c>
      <c r="BF12">
        <f t="shared" si="16"/>
        <v>0</v>
      </c>
      <c r="BG12">
        <f t="shared" si="14"/>
        <v>1</v>
      </c>
    </row>
    <row r="13" spans="1:59" ht="15.75">
      <c r="A13" s="72" t="s">
        <v>51</v>
      </c>
      <c r="B13" s="431"/>
      <c r="C13" s="49"/>
      <c r="D13" s="75" t="s">
        <v>51</v>
      </c>
      <c r="E13" s="433">
        <v>2000</v>
      </c>
      <c r="F13" s="37">
        <f>IF(B13&lt;110,B13,110)</f>
        <v>0</v>
      </c>
      <c r="G13" s="104" t="s">
        <v>52</v>
      </c>
      <c r="K13" s="2"/>
      <c r="L13" s="2"/>
      <c r="M13" s="2"/>
      <c r="N13" s="2"/>
      <c r="AD13" s="268" t="s">
        <v>53</v>
      </c>
      <c r="AE13" s="349">
        <f>$F$64/60</f>
        <v>0</v>
      </c>
      <c r="AF13" s="5"/>
      <c r="AG13" s="5"/>
      <c r="AH13" s="5"/>
      <c r="AI13" s="5"/>
      <c r="AJ13" s="5"/>
      <c r="AK13" s="5"/>
      <c r="AL13" s="266"/>
      <c r="AO13">
        <f t="shared" si="0"/>
        <v>57.29577951308232</v>
      </c>
      <c r="AP13">
        <v>1</v>
      </c>
      <c r="AQ13">
        <f t="shared" si="1"/>
        <v>0.019816126899012937</v>
      </c>
      <c r="AR13">
        <f t="shared" si="2"/>
        <v>0.06120871905481362</v>
      </c>
      <c r="AS13" s="232">
        <f t="shared" si="7"/>
        <v>0.025230676391313444</v>
      </c>
      <c r="AT13">
        <f t="shared" si="3"/>
        <v>0.06120871905481362</v>
      </c>
      <c r="AU13">
        <f t="shared" si="4"/>
        <v>0.9387912809451864</v>
      </c>
      <c r="AV13">
        <f t="shared" si="5"/>
        <v>0.4387912809451864</v>
      </c>
      <c r="AW13" s="232">
        <f t="shared" si="6"/>
        <v>0.025230676391313444</v>
      </c>
      <c r="AY13">
        <f t="shared" si="15"/>
        <v>1</v>
      </c>
      <c r="AZ13">
        <f t="shared" si="8"/>
        <v>0.01866025403784439</v>
      </c>
      <c r="BA13">
        <f t="shared" si="9"/>
        <v>-0.03732050807568878</v>
      </c>
      <c r="BB13">
        <f t="shared" si="10"/>
        <v>0</v>
      </c>
      <c r="BC13">
        <f t="shared" si="11"/>
        <v>0</v>
      </c>
      <c r="BD13">
        <f t="shared" si="12"/>
        <v>0</v>
      </c>
      <c r="BE13">
        <f t="shared" si="13"/>
        <v>0</v>
      </c>
      <c r="BF13">
        <f t="shared" si="16"/>
        <v>0</v>
      </c>
      <c r="BG13">
        <f t="shared" si="14"/>
        <v>1</v>
      </c>
    </row>
    <row r="14" spans="1:59" ht="12.75">
      <c r="A14" s="72" t="s">
        <v>54</v>
      </c>
      <c r="B14" s="431"/>
      <c r="C14" s="49"/>
      <c r="D14" s="73" t="s">
        <v>55</v>
      </c>
      <c r="E14" s="19"/>
      <c r="F14" s="38">
        <f>IF(B12&gt;0,10*$B$14*(1/SQRT(E$12)-1/SQRT(B$12)),)</f>
        <v>0</v>
      </c>
      <c r="H14" s="368" t="s">
        <v>56</v>
      </c>
      <c r="N14" s="311" t="s">
        <v>57</v>
      </c>
      <c r="O14" s="254"/>
      <c r="P14" s="254" t="s">
        <v>58</v>
      </c>
      <c r="Q14" s="254"/>
      <c r="R14" s="312"/>
      <c r="S14" s="282"/>
      <c r="AD14" s="268" t="s">
        <v>59</v>
      </c>
      <c r="AE14" s="348"/>
      <c r="AF14" s="5"/>
      <c r="AG14" s="5"/>
      <c r="AH14" s="5"/>
      <c r="AI14" s="5"/>
      <c r="AJ14" s="5"/>
      <c r="AK14" s="5"/>
      <c r="AL14" s="266"/>
      <c r="AO14">
        <f t="shared" si="0"/>
        <v>63.02535746439057</v>
      </c>
      <c r="AP14">
        <v>1.1</v>
      </c>
      <c r="AQ14">
        <f t="shared" si="1"/>
        <v>0.026099079992320584</v>
      </c>
      <c r="AR14">
        <f t="shared" si="2"/>
        <v>0.07373773897024716</v>
      </c>
      <c r="AS14" s="232">
        <f t="shared" si="7"/>
        <v>0.03323038072742886</v>
      </c>
      <c r="AT14">
        <f t="shared" si="3"/>
        <v>0.07373773897024716</v>
      </c>
      <c r="AU14">
        <f t="shared" si="4"/>
        <v>0.9262622610297528</v>
      </c>
      <c r="AV14">
        <f t="shared" si="5"/>
        <v>0.42626226102975284</v>
      </c>
      <c r="AW14" s="232">
        <f t="shared" si="6"/>
        <v>0.03323038072742886</v>
      </c>
      <c r="AY14">
        <f t="shared" si="15"/>
        <v>1</v>
      </c>
      <c r="AZ14">
        <f t="shared" si="8"/>
        <v>0.01866025403784439</v>
      </c>
      <c r="BA14">
        <f t="shared" si="9"/>
        <v>-0.03732050807568878</v>
      </c>
      <c r="BB14">
        <f t="shared" si="10"/>
        <v>0</v>
      </c>
      <c r="BC14">
        <f t="shared" si="11"/>
        <v>0</v>
      </c>
      <c r="BD14">
        <f t="shared" si="12"/>
        <v>0</v>
      </c>
      <c r="BE14">
        <f t="shared" si="13"/>
        <v>0</v>
      </c>
      <c r="BF14">
        <f t="shared" si="16"/>
        <v>0</v>
      </c>
      <c r="BG14">
        <f t="shared" si="14"/>
        <v>1</v>
      </c>
    </row>
    <row r="15" spans="1:59" ht="12.75">
      <c r="A15" s="72" t="s">
        <v>60</v>
      </c>
      <c r="B15" s="431"/>
      <c r="C15" s="50"/>
      <c r="D15" s="74" t="s">
        <v>61</v>
      </c>
      <c r="E15" s="51"/>
      <c r="F15" s="38">
        <f>IF(E12&gt;0,10*$B$15*(1/SQRT(E$13)-1/SQRT(E$12)),)</f>
        <v>0</v>
      </c>
      <c r="N15" s="290"/>
      <c r="O15" s="5"/>
      <c r="P15" s="5" t="s">
        <v>62</v>
      </c>
      <c r="Q15" s="5"/>
      <c r="R15" s="13"/>
      <c r="S15" s="283"/>
      <c r="AD15" s="268" t="s">
        <v>63</v>
      </c>
      <c r="AE15" s="350" t="e">
        <f>AF15*AG15*AH15+(AI15*AJ15)</f>
        <v>#DIV/0!</v>
      </c>
      <c r="AF15" s="351" t="e">
        <f>PI()*AE5*AE9*AE13*AE24/(3*(AE24-AE34*AE22))</f>
        <v>#DIV/0!</v>
      </c>
      <c r="AG15" s="351" t="e">
        <f>2*AE24^3-3*AE34*AE24^2*AE22+AE22^3*(3*AE34-2)</f>
        <v>#DIV/0!</v>
      </c>
      <c r="AH15" s="351" t="e">
        <f>AE41*(SIN(AE38)-SIN(AE39))+AE44*(SIN(AE39)-SIN(AE40))</f>
        <v>#DIV/0!</v>
      </c>
      <c r="AI15" s="351" t="e">
        <f>AE9*AE41*(AE13*AE24*PI()/(AE24-AE34*AE22))^3</f>
        <v>#DIV/0!</v>
      </c>
      <c r="AJ15" s="351" t="e">
        <f>(AE24-AE34*AE22)^4-(AE22^4)*(AE34-1)^4</f>
        <v>#DIV/0!</v>
      </c>
      <c r="AK15" s="5">
        <v>12</v>
      </c>
      <c r="AL15" s="266"/>
      <c r="AO15">
        <f t="shared" si="0"/>
        <v>68.75493541569878</v>
      </c>
      <c r="AP15">
        <v>1.2</v>
      </c>
      <c r="AQ15">
        <f t="shared" si="1"/>
        <v>0.03349511425409671</v>
      </c>
      <c r="AR15">
        <f t="shared" si="2"/>
        <v>0.08733219254516084</v>
      </c>
      <c r="AS15" s="232">
        <f t="shared" si="7"/>
        <v>0.042647304023738355</v>
      </c>
      <c r="AT15">
        <f t="shared" si="3"/>
        <v>0.08733219254516084</v>
      </c>
      <c r="AU15">
        <f t="shared" si="4"/>
        <v>0.9126678074548391</v>
      </c>
      <c r="AV15">
        <f t="shared" si="5"/>
        <v>0.41266780745483916</v>
      </c>
      <c r="AW15" s="232">
        <f t="shared" si="6"/>
        <v>0.042647304023738355</v>
      </c>
      <c r="AY15">
        <f t="shared" si="15"/>
        <v>1</v>
      </c>
      <c r="AZ15">
        <f t="shared" si="8"/>
        <v>0.01866025403784439</v>
      </c>
      <c r="BA15">
        <f t="shared" si="9"/>
        <v>-0.03732050807568878</v>
      </c>
      <c r="BB15">
        <f t="shared" si="10"/>
        <v>0</v>
      </c>
      <c r="BC15">
        <f t="shared" si="11"/>
        <v>0</v>
      </c>
      <c r="BD15">
        <f t="shared" si="12"/>
        <v>0</v>
      </c>
      <c r="BE15">
        <f t="shared" si="13"/>
        <v>0</v>
      </c>
      <c r="BF15">
        <f t="shared" si="16"/>
        <v>0</v>
      </c>
      <c r="BG15">
        <f t="shared" si="14"/>
        <v>1</v>
      </c>
    </row>
    <row r="16" spans="1:59" ht="12.75">
      <c r="A16" s="72" t="s">
        <v>64</v>
      </c>
      <c r="B16" s="431"/>
      <c r="C16" s="50"/>
      <c r="D16" s="74" t="s">
        <v>65</v>
      </c>
      <c r="E16" s="147"/>
      <c r="F16" s="77">
        <f>IF(F13&gt;0,10*B$16*(1/SQRT(F$13)-1/SQRT(F$12)),)</f>
        <v>0</v>
      </c>
      <c r="N16" s="290"/>
      <c r="O16" s="5"/>
      <c r="P16" s="5" t="s">
        <v>66</v>
      </c>
      <c r="Q16" s="5"/>
      <c r="R16" s="5"/>
      <c r="S16" s="249"/>
      <c r="AD16" s="268" t="s">
        <v>67</v>
      </c>
      <c r="AE16" s="350" t="e">
        <f>AF16*AG16*AH16+AI16*AJ16</f>
        <v>#DIV/0!</v>
      </c>
      <c r="AF16" s="351" t="e">
        <f>PI()*AE5*AE11*AE13/(3*(AE24-AE25))</f>
        <v>#DIV/0!</v>
      </c>
      <c r="AG16" s="351" t="e">
        <f>AE24^4-4*AE24*AE22^3+3*AE22^4</f>
        <v>#DIV/0!</v>
      </c>
      <c r="AH16" s="351" t="e">
        <f>AE41*(SIN(AE38)-SIN(AE39))+AE44*(SIN(AE39)-SIN(AE40))</f>
        <v>#DIV/0!</v>
      </c>
      <c r="AI16" s="351" t="e">
        <f>(2*(PI()^3)*(AE13^3)*AE11*AE41)/(5*(AE24-AE22))</f>
        <v>#DIV/0!</v>
      </c>
      <c r="AJ16" s="351" t="e">
        <f>(AE24^5)-5*AE24*(AE22^4)+4*(AE22^5)</f>
        <v>#DIV/0!</v>
      </c>
      <c r="AK16" s="5">
        <v>13</v>
      </c>
      <c r="AL16" s="266"/>
      <c r="AO16">
        <f t="shared" si="0"/>
        <v>74.48451336700703</v>
      </c>
      <c r="AP16">
        <v>1.3</v>
      </c>
      <c r="AQ16">
        <f t="shared" si="1"/>
        <v>0.042055226822850886</v>
      </c>
      <c r="AR16">
        <f t="shared" si="2"/>
        <v>0.10195810072547207</v>
      </c>
      <c r="AS16" s="232">
        <f t="shared" si="7"/>
        <v>0.05354637785366067</v>
      </c>
      <c r="AT16">
        <f t="shared" si="3"/>
        <v>0.10195810072547207</v>
      </c>
      <c r="AU16">
        <f t="shared" si="4"/>
        <v>0.8980418992745279</v>
      </c>
      <c r="AV16">
        <f t="shared" si="5"/>
        <v>0.39804189927452793</v>
      </c>
      <c r="AW16" s="232">
        <f t="shared" si="6"/>
        <v>0.05354637785366067</v>
      </c>
      <c r="AY16">
        <f t="shared" si="15"/>
        <v>1</v>
      </c>
      <c r="AZ16">
        <f t="shared" si="8"/>
        <v>0.01866025403784439</v>
      </c>
      <c r="BA16">
        <f t="shared" si="9"/>
        <v>-0.03732050807568878</v>
      </c>
      <c r="BB16">
        <f t="shared" si="10"/>
        <v>0</v>
      </c>
      <c r="BC16">
        <f t="shared" si="11"/>
        <v>0</v>
      </c>
      <c r="BD16">
        <f t="shared" si="12"/>
        <v>0</v>
      </c>
      <c r="BE16">
        <f t="shared" si="13"/>
        <v>0</v>
      </c>
      <c r="BF16">
        <f t="shared" si="16"/>
        <v>0</v>
      </c>
      <c r="BG16">
        <f t="shared" si="14"/>
        <v>1</v>
      </c>
    </row>
    <row r="17" spans="1:59" ht="12.75">
      <c r="A17" s="538"/>
      <c r="B17" s="125"/>
      <c r="C17" s="53"/>
      <c r="D17" s="74" t="s">
        <v>68</v>
      </c>
      <c r="E17" s="147"/>
      <c r="F17" s="38">
        <f>(+F14+F15*E31+F16*F31)*B32</f>
        <v>0</v>
      </c>
      <c r="N17" s="291"/>
      <c r="O17" s="313"/>
      <c r="P17" s="292" t="s">
        <v>69</v>
      </c>
      <c r="Q17" s="292"/>
      <c r="R17" s="292"/>
      <c r="S17" s="256"/>
      <c r="AD17" s="268" t="s">
        <v>70</v>
      </c>
      <c r="AE17" s="350">
        <f>1.68*AE3^2.05*(AE36*(0.667*AE11+AE9))^0.82</f>
        <v>0</v>
      </c>
      <c r="AF17" s="351"/>
      <c r="AG17" s="352">
        <v>14</v>
      </c>
      <c r="AH17" s="351"/>
      <c r="AI17" s="351"/>
      <c r="AJ17" s="351"/>
      <c r="AK17" s="5"/>
      <c r="AL17" s="266"/>
      <c r="AO17">
        <f t="shared" si="0"/>
        <v>80.21409131831524</v>
      </c>
      <c r="AP17">
        <v>1.4</v>
      </c>
      <c r="AQ17">
        <f t="shared" si="1"/>
        <v>0.05181878375144247</v>
      </c>
      <c r="AR17">
        <f t="shared" si="2"/>
        <v>0.11757890635775575</v>
      </c>
      <c r="AS17" s="232">
        <f t="shared" si="7"/>
        <v>0.06597772463241645</v>
      </c>
      <c r="AT17">
        <f t="shared" si="3"/>
        <v>0.11757890635775575</v>
      </c>
      <c r="AU17">
        <f t="shared" si="4"/>
        <v>0.8824210936422443</v>
      </c>
      <c r="AV17">
        <f t="shared" si="5"/>
        <v>0.38242109364224425</v>
      </c>
      <c r="AW17" s="232">
        <f t="shared" si="6"/>
        <v>0.06597772463241645</v>
      </c>
      <c r="AY17">
        <f t="shared" si="15"/>
        <v>1</v>
      </c>
      <c r="AZ17">
        <f t="shared" si="8"/>
        <v>0.01866025403784439</v>
      </c>
      <c r="BA17">
        <f t="shared" si="9"/>
        <v>-0.03732050807568878</v>
      </c>
      <c r="BB17">
        <f t="shared" si="10"/>
        <v>0</v>
      </c>
      <c r="BC17">
        <f t="shared" si="11"/>
        <v>0</v>
      </c>
      <c r="BD17">
        <f t="shared" si="12"/>
        <v>0</v>
      </c>
      <c r="BE17">
        <f t="shared" si="13"/>
        <v>0</v>
      </c>
      <c r="BF17">
        <f t="shared" si="16"/>
        <v>0</v>
      </c>
      <c r="BG17">
        <f t="shared" si="14"/>
        <v>1</v>
      </c>
    </row>
    <row r="18" spans="1:59" ht="20.25">
      <c r="A18" s="539"/>
      <c r="B18" s="129"/>
      <c r="C18" s="53"/>
      <c r="D18" s="74" t="s">
        <v>71</v>
      </c>
      <c r="E18" s="147"/>
      <c r="F18" s="38">
        <f>IF(B13&gt;0,10*B16*F31*(1/SQRT(F13)-1/SQRT(B13)),)</f>
        <v>0</v>
      </c>
      <c r="H18" s="444"/>
      <c r="K18" s="2"/>
      <c r="AD18" s="353" t="s">
        <v>72</v>
      </c>
      <c r="AE18" s="354" t="e">
        <f>AE17+(AE8*(AE15+AE16))</f>
        <v>#DIV/0!</v>
      </c>
      <c r="AF18" s="355"/>
      <c r="AG18" s="355">
        <v>15</v>
      </c>
      <c r="AH18" s="355"/>
      <c r="AI18" s="355"/>
      <c r="AJ18" s="355"/>
      <c r="AK18" s="31"/>
      <c r="AL18" s="266"/>
      <c r="AO18">
        <f t="shared" si="0"/>
        <v>85.94366926962348</v>
      </c>
      <c r="AP18">
        <v>1.5</v>
      </c>
      <c r="AQ18">
        <f t="shared" si="1"/>
        <v>0.0628131266744932</v>
      </c>
      <c r="AR18">
        <f t="shared" si="2"/>
        <v>0.13415556556308955</v>
      </c>
      <c r="AS18" s="232">
        <f t="shared" si="7"/>
        <v>0.07997615681042382</v>
      </c>
      <c r="AT18">
        <f t="shared" si="3"/>
        <v>0.13415556556308955</v>
      </c>
      <c r="AU18">
        <f t="shared" si="4"/>
        <v>0.8658444344369105</v>
      </c>
      <c r="AV18">
        <f t="shared" si="5"/>
        <v>0.36584443443691045</v>
      </c>
      <c r="AW18" s="232"/>
      <c r="AY18">
        <f t="shared" si="15"/>
        <v>1</v>
      </c>
      <c r="AZ18">
        <f t="shared" si="8"/>
        <v>0.01866025403784439</v>
      </c>
      <c r="BA18">
        <f t="shared" si="9"/>
        <v>-0.03732050807568878</v>
      </c>
      <c r="BB18">
        <f t="shared" si="10"/>
        <v>0</v>
      </c>
      <c r="BC18">
        <f t="shared" si="11"/>
        <v>0</v>
      </c>
      <c r="BD18">
        <f t="shared" si="12"/>
        <v>0</v>
      </c>
      <c r="BE18">
        <f t="shared" si="13"/>
        <v>0</v>
      </c>
      <c r="BF18">
        <f t="shared" si="16"/>
        <v>0</v>
      </c>
      <c r="BG18">
        <f t="shared" si="14"/>
        <v>1</v>
      </c>
    </row>
    <row r="19" spans="1:59" ht="15.75">
      <c r="A19" s="34"/>
      <c r="B19" s="9"/>
      <c r="C19" s="53"/>
      <c r="D19" s="134" t="s">
        <v>73</v>
      </c>
      <c r="E19" s="147"/>
      <c r="F19" s="146">
        <f>F17-F18</f>
        <v>0</v>
      </c>
      <c r="H19" s="2"/>
      <c r="AD19" s="268" t="s">
        <v>74</v>
      </c>
      <c r="AE19" s="348"/>
      <c r="AF19" s="5"/>
      <c r="AG19" s="5"/>
      <c r="AH19" s="5"/>
      <c r="AI19" s="5"/>
      <c r="AJ19" s="5"/>
      <c r="AK19" s="5"/>
      <c r="AL19" s="266"/>
      <c r="AO19">
        <f t="shared" si="0"/>
        <v>91.67324722093171</v>
      </c>
      <c r="AP19">
        <v>1.6</v>
      </c>
      <c r="AQ19">
        <f t="shared" si="1"/>
        <v>0.07505329961981187</v>
      </c>
      <c r="AR19">
        <f t="shared" si="2"/>
        <v>0.1516466453264173</v>
      </c>
      <c r="AS19" s="232">
        <f t="shared" si="7"/>
        <v>0.09556082903880103</v>
      </c>
      <c r="AT19">
        <f t="shared" si="3"/>
        <v>0.1516466453264173</v>
      </c>
      <c r="AU19">
        <f t="shared" si="4"/>
        <v>0.8483533546735826</v>
      </c>
      <c r="AV19">
        <f t="shared" si="5"/>
        <v>0.3483533546735827</v>
      </c>
      <c r="AW19" s="232">
        <f aca="true" t="shared" si="17" ref="AW19:AW66">$AQ19/$AQ$68</f>
        <v>0.09556082903880103</v>
      </c>
      <c r="AY19">
        <f t="shared" si="15"/>
        <v>1</v>
      </c>
      <c r="AZ19">
        <f t="shared" si="8"/>
        <v>0.01866025403784439</v>
      </c>
      <c r="BA19">
        <f t="shared" si="9"/>
        <v>-0.03732050807568878</v>
      </c>
      <c r="BB19">
        <f t="shared" si="10"/>
        <v>0</v>
      </c>
      <c r="BC19">
        <f t="shared" si="11"/>
        <v>0</v>
      </c>
      <c r="BD19">
        <f t="shared" si="12"/>
        <v>0</v>
      </c>
      <c r="BE19">
        <f t="shared" si="13"/>
        <v>0</v>
      </c>
      <c r="BF19">
        <f t="shared" si="16"/>
        <v>0</v>
      </c>
      <c r="BG19">
        <f t="shared" si="14"/>
        <v>1</v>
      </c>
    </row>
    <row r="20" spans="1:59" ht="12.75">
      <c r="A20" s="115" t="s">
        <v>75</v>
      </c>
      <c r="B20" s="5"/>
      <c r="C20" s="5"/>
      <c r="D20" s="148" t="s">
        <v>76</v>
      </c>
      <c r="E20" s="148" t="s">
        <v>77</v>
      </c>
      <c r="F20" s="221" t="s">
        <v>78</v>
      </c>
      <c r="H20" s="2"/>
      <c r="AD20" s="268" t="s">
        <v>79</v>
      </c>
      <c r="AE20" s="348"/>
      <c r="AF20" s="5"/>
      <c r="AG20" s="5"/>
      <c r="AH20" s="5"/>
      <c r="AI20" s="5"/>
      <c r="AJ20" s="5"/>
      <c r="AK20" s="5"/>
      <c r="AL20" s="266"/>
      <c r="AO20">
        <f t="shared" si="0"/>
        <v>97.40282517223994</v>
      </c>
      <c r="AP20">
        <v>1.7</v>
      </c>
      <c r="AQ20">
        <f t="shared" si="1"/>
        <v>0.08854189869344142</v>
      </c>
      <c r="AR20">
        <f t="shared" si="2"/>
        <v>0.1700084270575089</v>
      </c>
      <c r="AS20" s="232">
        <f t="shared" si="7"/>
        <v>0.11273504678242426</v>
      </c>
      <c r="AT20">
        <f t="shared" si="3"/>
        <v>0.1700084270575089</v>
      </c>
      <c r="AU20">
        <f t="shared" si="4"/>
        <v>0.8299915729424912</v>
      </c>
      <c r="AV20">
        <f t="shared" si="5"/>
        <v>0.3299915729424911</v>
      </c>
      <c r="AW20" s="232">
        <f t="shared" si="17"/>
        <v>0.11273504678242426</v>
      </c>
      <c r="AY20">
        <f t="shared" si="15"/>
        <v>1</v>
      </c>
      <c r="AZ20">
        <f t="shared" si="8"/>
        <v>0.01866025403784439</v>
      </c>
      <c r="BA20">
        <f t="shared" si="9"/>
        <v>-0.03732050807568878</v>
      </c>
      <c r="BB20">
        <f t="shared" si="10"/>
        <v>0</v>
      </c>
      <c r="BC20">
        <f t="shared" si="11"/>
        <v>0</v>
      </c>
      <c r="BD20">
        <f t="shared" si="12"/>
        <v>0</v>
      </c>
      <c r="BE20">
        <f t="shared" si="13"/>
        <v>0</v>
      </c>
      <c r="BF20">
        <f t="shared" si="16"/>
        <v>0</v>
      </c>
      <c r="BG20">
        <f t="shared" si="14"/>
        <v>1</v>
      </c>
    </row>
    <row r="21" spans="1:59" ht="12.75">
      <c r="A21" s="78"/>
      <c r="B21" s="5"/>
      <c r="C21" s="5"/>
      <c r="D21" s="147"/>
      <c r="E21" s="147"/>
      <c r="F21" s="146"/>
      <c r="H21" s="444"/>
      <c r="AD21" s="268" t="s">
        <v>80</v>
      </c>
      <c r="AE21" s="348"/>
      <c r="AF21" s="5"/>
      <c r="AG21" s="5"/>
      <c r="AH21" s="5"/>
      <c r="AI21" s="5"/>
      <c r="AJ21" s="5"/>
      <c r="AK21" s="5"/>
      <c r="AL21" s="266"/>
      <c r="AO21">
        <f t="shared" si="0"/>
        <v>103.13240312354819</v>
      </c>
      <c r="AP21">
        <v>1.8</v>
      </c>
      <c r="AQ21">
        <f t="shared" si="1"/>
        <v>0.10326904614022561</v>
      </c>
      <c r="AR21">
        <f t="shared" si="2"/>
        <v>0.1891950158646678</v>
      </c>
      <c r="AS21" s="232">
        <f t="shared" si="7"/>
        <v>0.13148623329281536</v>
      </c>
      <c r="AT21">
        <f t="shared" si="3"/>
        <v>0.1891950158646678</v>
      </c>
      <c r="AU21">
        <f t="shared" si="4"/>
        <v>0.8108049841353322</v>
      </c>
      <c r="AV21">
        <f t="shared" si="5"/>
        <v>0.3108049841353322</v>
      </c>
      <c r="AW21" s="232">
        <f t="shared" si="17"/>
        <v>0.13148623329281536</v>
      </c>
      <c r="AY21">
        <f t="shared" si="15"/>
        <v>1</v>
      </c>
      <c r="AZ21">
        <f t="shared" si="8"/>
        <v>0.01866025403784439</v>
      </c>
      <c r="BA21">
        <f t="shared" si="9"/>
        <v>-0.03732050807568878</v>
      </c>
      <c r="BB21">
        <f t="shared" si="10"/>
        <v>0</v>
      </c>
      <c r="BC21">
        <f t="shared" si="11"/>
        <v>0</v>
      </c>
      <c r="BD21">
        <f t="shared" si="12"/>
        <v>0</v>
      </c>
      <c r="BE21">
        <f t="shared" si="13"/>
        <v>0</v>
      </c>
      <c r="BF21">
        <f t="shared" si="16"/>
        <v>0</v>
      </c>
      <c r="BG21">
        <f t="shared" si="14"/>
        <v>1</v>
      </c>
    </row>
    <row r="22" spans="1:59" ht="12.75">
      <c r="A22" s="78" t="s">
        <v>81</v>
      </c>
      <c r="B22" s="431"/>
      <c r="C22" s="53"/>
      <c r="D22" s="145" t="s">
        <v>82</v>
      </c>
      <c r="E22" s="219">
        <f>IF(B22&gt;0,IF(B22=2,1.3,1),1)</f>
        <v>1</v>
      </c>
      <c r="F22" s="146">
        <f>IF(B22&gt;0,IF(B22=2,1.3,1),1)</f>
        <v>1</v>
      </c>
      <c r="H22" s="2"/>
      <c r="AD22" s="268" t="s">
        <v>83</v>
      </c>
      <c r="AE22" s="356" t="e">
        <f>AE24*(1-(2*PI()*AE35*AE7)/(2*PI()+AE38-AE39))^0.5</f>
        <v>#DIV/0!</v>
      </c>
      <c r="AF22" s="5"/>
      <c r="AG22" s="5">
        <v>10</v>
      </c>
      <c r="AH22" s="5"/>
      <c r="AI22" s="5"/>
      <c r="AJ22" s="5"/>
      <c r="AK22" s="5"/>
      <c r="AL22" s="266"/>
      <c r="AO22">
        <f t="shared" si="0"/>
        <v>108.86198107485642</v>
      </c>
      <c r="AP22">
        <v>1.9</v>
      </c>
      <c r="AQ22">
        <f t="shared" si="1"/>
        <v>0.11921248903907318</v>
      </c>
      <c r="AR22">
        <f t="shared" si="2"/>
        <v>0.2091584552680582</v>
      </c>
      <c r="AS22" s="232">
        <f t="shared" si="7"/>
        <v>0.15178605527085512</v>
      </c>
      <c r="AT22">
        <f t="shared" si="3"/>
        <v>0.2091584552680582</v>
      </c>
      <c r="AU22">
        <f t="shared" si="4"/>
        <v>0.7908415447319418</v>
      </c>
      <c r="AV22">
        <f t="shared" si="5"/>
        <v>0.2908415447319418</v>
      </c>
      <c r="AW22" s="232">
        <f t="shared" si="17"/>
        <v>0.15178605527085512</v>
      </c>
      <c r="AY22">
        <f t="shared" si="15"/>
        <v>1</v>
      </c>
      <c r="AZ22">
        <f t="shared" si="8"/>
        <v>0.01866025403784439</v>
      </c>
      <c r="BA22">
        <f t="shared" si="9"/>
        <v>-0.03732050807568878</v>
      </c>
      <c r="BB22">
        <f t="shared" si="10"/>
        <v>0</v>
      </c>
      <c r="BC22">
        <f t="shared" si="11"/>
        <v>0</v>
      </c>
      <c r="BD22">
        <f t="shared" si="12"/>
        <v>0</v>
      </c>
      <c r="BE22">
        <f t="shared" si="13"/>
        <v>0</v>
      </c>
      <c r="BF22">
        <f t="shared" si="16"/>
        <v>0</v>
      </c>
      <c r="BG22">
        <f t="shared" si="14"/>
        <v>1</v>
      </c>
    </row>
    <row r="23" spans="1:59" ht="12.75">
      <c r="A23" s="78" t="s">
        <v>459</v>
      </c>
      <c r="B23" s="431"/>
      <c r="C23" s="53"/>
      <c r="D23" s="145" t="s">
        <v>84</v>
      </c>
      <c r="E23" s="219">
        <f>IF(B23&gt;0,IF(B23=1,1,1),1)</f>
        <v>1</v>
      </c>
      <c r="F23" s="146">
        <f>IF(B23&gt;0,IF(B23=1,1.2,1),1)</f>
        <v>1</v>
      </c>
      <c r="H23" s="2"/>
      <c r="AD23" s="268" t="s">
        <v>85</v>
      </c>
      <c r="AE23" s="356">
        <f>(AE24/2)*(1+(1-(2*PI()*AE7)/(2*PI()+AE38-AE39))^0.5)</f>
        <v>0</v>
      </c>
      <c r="AF23" s="5"/>
      <c r="AG23" s="5">
        <v>7</v>
      </c>
      <c r="AH23" s="5"/>
      <c r="AI23" s="5"/>
      <c r="AJ23" s="5"/>
      <c r="AK23" s="5"/>
      <c r="AL23" s="266"/>
      <c r="AO23">
        <f t="shared" si="0"/>
        <v>114.59155902616465</v>
      </c>
      <c r="AP23">
        <v>2</v>
      </c>
      <c r="AQ23">
        <f t="shared" si="1"/>
        <v>0.1363378216467898</v>
      </c>
      <c r="AR23">
        <f t="shared" si="2"/>
        <v>0.22984884706593012</v>
      </c>
      <c r="AS23" s="232">
        <f t="shared" si="7"/>
        <v>0.17359070596374243</v>
      </c>
      <c r="AT23">
        <f t="shared" si="3"/>
        <v>0.22984884706593012</v>
      </c>
      <c r="AU23">
        <f t="shared" si="4"/>
        <v>0.7701511529340699</v>
      </c>
      <c r="AV23">
        <f t="shared" si="5"/>
        <v>0.2701511529340699</v>
      </c>
      <c r="AW23" s="232">
        <f t="shared" si="17"/>
        <v>0.17359070596374243</v>
      </c>
      <c r="AY23">
        <f t="shared" si="15"/>
        <v>1</v>
      </c>
      <c r="AZ23">
        <f t="shared" si="8"/>
        <v>0.01866025403784439</v>
      </c>
      <c r="BA23">
        <f t="shared" si="9"/>
        <v>-0.03732050807568878</v>
      </c>
      <c r="BB23">
        <f t="shared" si="10"/>
        <v>0</v>
      </c>
      <c r="BC23">
        <f t="shared" si="11"/>
        <v>0</v>
      </c>
      <c r="BD23">
        <f t="shared" si="12"/>
        <v>0</v>
      </c>
      <c r="BE23">
        <f t="shared" si="13"/>
        <v>0</v>
      </c>
      <c r="BF23">
        <f t="shared" si="16"/>
        <v>0</v>
      </c>
      <c r="BG23">
        <f t="shared" si="14"/>
        <v>1</v>
      </c>
    </row>
    <row r="24" spans="1:59" ht="12.75">
      <c r="A24" s="535"/>
      <c r="B24" s="125"/>
      <c r="C24" s="7"/>
      <c r="D24" s="145" t="s">
        <v>86</v>
      </c>
      <c r="E24" s="320">
        <v>1</v>
      </c>
      <c r="F24" s="321">
        <v>1</v>
      </c>
      <c r="H24" s="2"/>
      <c r="AD24" s="268" t="s">
        <v>87</v>
      </c>
      <c r="AE24" s="357">
        <f>AE3/2</f>
        <v>0</v>
      </c>
      <c r="AF24" s="5"/>
      <c r="AG24" s="5"/>
      <c r="AH24" s="5"/>
      <c r="AI24" s="5"/>
      <c r="AJ24" s="5"/>
      <c r="AK24" s="5"/>
      <c r="AL24" s="266"/>
      <c r="AO24">
        <f t="shared" si="0"/>
        <v>120.32113697747288</v>
      </c>
      <c r="AP24">
        <v>2.1</v>
      </c>
      <c r="AQ24">
        <f t="shared" si="1"/>
        <v>0.15459882916889078</v>
      </c>
      <c r="AR24">
        <f t="shared" si="2"/>
        <v>0.2512144760541365</v>
      </c>
      <c r="AS24" s="232">
        <f t="shared" si="7"/>
        <v>0.1968413428675877</v>
      </c>
      <c r="AT24">
        <f t="shared" si="3"/>
        <v>0.2512144760541365</v>
      </c>
      <c r="AU24">
        <f t="shared" si="4"/>
        <v>0.7487855239458635</v>
      </c>
      <c r="AV24">
        <f t="shared" si="5"/>
        <v>0.2487855239458635</v>
      </c>
      <c r="AW24" s="232">
        <f t="shared" si="17"/>
        <v>0.1968413428675877</v>
      </c>
      <c r="AY24">
        <f t="shared" si="15"/>
        <v>1</v>
      </c>
      <c r="AZ24">
        <f t="shared" si="8"/>
        <v>0.01866025403784439</v>
      </c>
      <c r="BA24">
        <f t="shared" si="9"/>
        <v>-0.03732050807568878</v>
      </c>
      <c r="BB24">
        <f t="shared" si="10"/>
        <v>0</v>
      </c>
      <c r="BC24">
        <f t="shared" si="11"/>
        <v>0</v>
      </c>
      <c r="BD24">
        <f t="shared" si="12"/>
        <v>0</v>
      </c>
      <c r="BE24">
        <f t="shared" si="13"/>
        <v>0</v>
      </c>
      <c r="BF24">
        <f t="shared" si="16"/>
        <v>0</v>
      </c>
      <c r="BG24">
        <f t="shared" si="14"/>
        <v>1</v>
      </c>
    </row>
    <row r="25" spans="1:59" ht="12.75">
      <c r="A25" s="211"/>
      <c r="B25" s="129"/>
      <c r="C25" s="49"/>
      <c r="D25" s="145" t="s">
        <v>88</v>
      </c>
      <c r="E25" s="219">
        <f>IF(B15&gt;0,IF(E12&lt;16000*(13/(B15/1.103))^0.5,1,1+(B15/1.103-7)*((E12/(16000*(13/(B15/1.103))^0.5))-1)/(E12/E13)),1)</f>
        <v>1</v>
      </c>
      <c r="F25" s="146">
        <f>IF(B16&gt;0,IF(F12&lt;4000*((13/B16/1.103)^0.5),1,1+(B16/1.103-7)*((F12/(4000*(13/(B16/1.103))^0.5))-1)/(F12/F13)),1)</f>
        <v>1</v>
      </c>
      <c r="G25" s="9"/>
      <c r="AD25" s="268" t="s">
        <v>89</v>
      </c>
      <c r="AE25" s="357">
        <f>AE24*0.25</f>
        <v>0</v>
      </c>
      <c r="AF25" s="5"/>
      <c r="AG25" s="5"/>
      <c r="AH25" s="5"/>
      <c r="AI25" s="5"/>
      <c r="AJ25" s="5"/>
      <c r="AK25" s="5"/>
      <c r="AL25" s="266"/>
      <c r="AO25">
        <f t="shared" si="0"/>
        <v>126.05071492878113</v>
      </c>
      <c r="AP25">
        <v>2.2</v>
      </c>
      <c r="AQ25">
        <f t="shared" si="1"/>
        <v>0.17393794952255126</v>
      </c>
      <c r="AR25">
        <f t="shared" si="2"/>
        <v>0.27320193928721137</v>
      </c>
      <c r="AS25" s="232">
        <f t="shared" si="7"/>
        <v>0.22146467566226088</v>
      </c>
      <c r="AT25">
        <f t="shared" si="3"/>
        <v>0.27320193928721137</v>
      </c>
      <c r="AU25">
        <f t="shared" si="4"/>
        <v>0.7267980607127886</v>
      </c>
      <c r="AV25">
        <f t="shared" si="5"/>
        <v>0.22679806071278863</v>
      </c>
      <c r="AW25" s="232">
        <f t="shared" si="17"/>
        <v>0.22146467566226088</v>
      </c>
      <c r="AY25">
        <f t="shared" si="15"/>
        <v>1</v>
      </c>
      <c r="AZ25">
        <f t="shared" si="8"/>
        <v>0.01866025403784439</v>
      </c>
      <c r="BA25">
        <f t="shared" si="9"/>
        <v>-0.03732050807568878</v>
      </c>
      <c r="BB25">
        <f t="shared" si="10"/>
        <v>0</v>
      </c>
      <c r="BC25">
        <f t="shared" si="11"/>
        <v>0</v>
      </c>
      <c r="BD25">
        <f t="shared" si="12"/>
        <v>0</v>
      </c>
      <c r="BE25">
        <f t="shared" si="13"/>
        <v>0</v>
      </c>
      <c r="BF25">
        <f t="shared" si="16"/>
        <v>0</v>
      </c>
      <c r="BG25">
        <f t="shared" si="14"/>
        <v>1</v>
      </c>
    </row>
    <row r="26" spans="1:59" ht="12.75">
      <c r="A26" s="211"/>
      <c r="B26" s="129"/>
      <c r="C26" s="49"/>
      <c r="D26" s="145" t="s">
        <v>90</v>
      </c>
      <c r="E26" s="219">
        <f>IF(B13&gt;0,IF(E13&lt;75,(E13+10.3)/(1.145*E13),1),1)</f>
        <v>1</v>
      </c>
      <c r="F26" s="146">
        <f>IF(B13&gt;0,IF(F13&lt;75,(F13+10.3)/(1.145*F13),1),1)</f>
        <v>1</v>
      </c>
      <c r="G26" s="9"/>
      <c r="N26" s="305" t="s">
        <v>91</v>
      </c>
      <c r="O26" s="306">
        <f>E12/E13</f>
        <v>7</v>
      </c>
      <c r="AD26" s="268" t="s">
        <v>92</v>
      </c>
      <c r="AE26" s="348"/>
      <c r="AF26" s="5"/>
      <c r="AG26" s="5"/>
      <c r="AH26" s="5"/>
      <c r="AI26" s="5"/>
      <c r="AJ26" s="5"/>
      <c r="AK26" s="5"/>
      <c r="AL26" s="266"/>
      <c r="AO26">
        <f t="shared" si="0"/>
        <v>131.78029288008932</v>
      </c>
      <c r="AP26">
        <v>2.3</v>
      </c>
      <c r="AQ26">
        <f t="shared" si="1"/>
        <v>0.19428684847790995</v>
      </c>
      <c r="AR26">
        <f t="shared" si="2"/>
        <v>0.2957562795579213</v>
      </c>
      <c r="AS26" s="232">
        <f t="shared" si="7"/>
        <v>0.24737369850404362</v>
      </c>
      <c r="AT26">
        <f t="shared" si="3"/>
        <v>0.2957562795579213</v>
      </c>
      <c r="AU26">
        <f t="shared" si="4"/>
        <v>0.7042437204420787</v>
      </c>
      <c r="AV26">
        <f t="shared" si="5"/>
        <v>0.20424372044207872</v>
      </c>
      <c r="AW26" s="232">
        <f t="shared" si="17"/>
        <v>0.24737369850404362</v>
      </c>
      <c r="AY26">
        <f t="shared" si="15"/>
        <v>1</v>
      </c>
      <c r="AZ26">
        <f t="shared" si="8"/>
        <v>0.01866025403784439</v>
      </c>
      <c r="BA26">
        <f t="shared" si="9"/>
        <v>-0.03732050807568878</v>
      </c>
      <c r="BB26">
        <f t="shared" si="10"/>
        <v>0</v>
      </c>
      <c r="BC26">
        <f t="shared" si="11"/>
        <v>0</v>
      </c>
      <c r="BD26">
        <f t="shared" si="12"/>
        <v>0</v>
      </c>
      <c r="BE26">
        <f t="shared" si="13"/>
        <v>0</v>
      </c>
      <c r="BF26">
        <f t="shared" si="16"/>
        <v>0</v>
      </c>
      <c r="BG26">
        <f t="shared" si="14"/>
        <v>1</v>
      </c>
    </row>
    <row r="27" spans="1:59" ht="12.75">
      <c r="A27" s="536"/>
      <c r="B27" s="129"/>
      <c r="C27" s="49"/>
      <c r="D27" s="145" t="s">
        <v>93</v>
      </c>
      <c r="E27" s="219">
        <f>IF(B58&gt;0,IF(O28&lt;-2,1+(O28^2)/150,IF(O28&gt;2,1+(O28^2)/150,1)),1)</f>
        <v>1</v>
      </c>
      <c r="F27" s="321">
        <v>1</v>
      </c>
      <c r="G27" s="9"/>
      <c r="N27" s="307" t="s">
        <v>94</v>
      </c>
      <c r="O27" s="308" t="e">
        <f>8+5*(B59-0.5)/F62</f>
        <v>#DIV/0!</v>
      </c>
      <c r="AD27" s="268" t="s">
        <v>95</v>
      </c>
      <c r="AE27" s="349" t="e">
        <f>AF27/(AF27+AF28*(100-AF27))</f>
        <v>#DIV/0!</v>
      </c>
      <c r="AF27" s="358">
        <f>$B$66*100</f>
        <v>0</v>
      </c>
      <c r="AG27" s="5"/>
      <c r="AH27" s="5"/>
      <c r="AI27" s="5"/>
      <c r="AJ27" s="5"/>
      <c r="AK27" s="5"/>
      <c r="AL27" s="266"/>
      <c r="AO27">
        <f t="shared" si="0"/>
        <v>137.50987083139756</v>
      </c>
      <c r="AP27">
        <v>2.4</v>
      </c>
      <c r="AQ27">
        <f t="shared" si="1"/>
        <v>0.2155671024311061</v>
      </c>
      <c r="AR27">
        <f t="shared" si="2"/>
        <v>0.3188211227616632</v>
      </c>
      <c r="AS27" s="232">
        <f t="shared" si="7"/>
        <v>0.27446855935925973</v>
      </c>
      <c r="AT27">
        <f t="shared" si="3"/>
        <v>0.3188211227616632</v>
      </c>
      <c r="AU27">
        <f t="shared" si="4"/>
        <v>0.6811788772383368</v>
      </c>
      <c r="AV27">
        <f t="shared" si="5"/>
        <v>0.1811788772383368</v>
      </c>
      <c r="AW27" s="232">
        <f t="shared" si="17"/>
        <v>0.27446855935925973</v>
      </c>
      <c r="AY27">
        <f t="shared" si="15"/>
        <v>1</v>
      </c>
      <c r="AZ27">
        <f t="shared" si="8"/>
        <v>0.01866025403784439</v>
      </c>
      <c r="BA27">
        <f t="shared" si="9"/>
        <v>-0.03732050807568878</v>
      </c>
      <c r="BB27">
        <f t="shared" si="10"/>
        <v>0</v>
      </c>
      <c r="BC27">
        <f t="shared" si="11"/>
        <v>0</v>
      </c>
      <c r="BD27">
        <f t="shared" si="12"/>
        <v>0</v>
      </c>
      <c r="BE27">
        <f t="shared" si="13"/>
        <v>0</v>
      </c>
      <c r="BF27">
        <f t="shared" si="16"/>
        <v>0</v>
      </c>
      <c r="BG27">
        <f t="shared" si="14"/>
        <v>1</v>
      </c>
    </row>
    <row r="28" spans="1:59" ht="12.75">
      <c r="A28" s="537"/>
      <c r="B28" s="125"/>
      <c r="C28" s="7"/>
      <c r="D28" s="145" t="s">
        <v>96</v>
      </c>
      <c r="E28" s="320">
        <v>1</v>
      </c>
      <c r="F28" s="146">
        <f>IF(B13&gt;0,IF(F12/F13&lt;6,1+0.26/(2*(F12/F13-1.35)),1),1)</f>
        <v>1</v>
      </c>
      <c r="G28" s="9"/>
      <c r="N28" s="309" t="s">
        <v>97</v>
      </c>
      <c r="O28" s="310" t="e">
        <f>O26-O27</f>
        <v>#DIV/0!</v>
      </c>
      <c r="AD28" s="268" t="s">
        <v>98</v>
      </c>
      <c r="AE28" s="356" t="e">
        <f>(2*PI()-AE39+AE38)/(2*PI()*(AE13/2))</f>
        <v>#DIV/0!</v>
      </c>
      <c r="AF28" s="365">
        <f>$B$11</f>
        <v>0</v>
      </c>
      <c r="AG28" s="5">
        <v>6</v>
      </c>
      <c r="AH28" s="5"/>
      <c r="AI28" s="5"/>
      <c r="AJ28" s="5"/>
      <c r="AK28" s="5"/>
      <c r="AL28" s="266"/>
      <c r="AO28">
        <f t="shared" si="0"/>
        <v>143.2394487827058</v>
      </c>
      <c r="AP28">
        <v>2.5</v>
      </c>
      <c r="AQ28">
        <f t="shared" si="1"/>
        <v>0.23769098198700545</v>
      </c>
      <c r="AR28">
        <f t="shared" si="2"/>
        <v>0.34233881880236566</v>
      </c>
      <c r="AS28" s="232">
        <f t="shared" si="7"/>
        <v>0.3026375576927886</v>
      </c>
      <c r="AT28">
        <f t="shared" si="3"/>
        <v>0.34233881880236566</v>
      </c>
      <c r="AU28">
        <f t="shared" si="4"/>
        <v>0.6576611811976343</v>
      </c>
      <c r="AV28">
        <f t="shared" si="5"/>
        <v>0.15766118119763434</v>
      </c>
      <c r="AW28" s="232">
        <f t="shared" si="17"/>
        <v>0.3026375576927886</v>
      </c>
      <c r="AY28">
        <f t="shared" si="15"/>
        <v>1</v>
      </c>
      <c r="AZ28">
        <f t="shared" si="8"/>
        <v>0.01866025403784439</v>
      </c>
      <c r="BA28">
        <f t="shared" si="9"/>
        <v>-0.03732050807568878</v>
      </c>
      <c r="BB28">
        <f t="shared" si="10"/>
        <v>0</v>
      </c>
      <c r="BC28">
        <f t="shared" si="11"/>
        <v>0</v>
      </c>
      <c r="BD28">
        <f t="shared" si="12"/>
        <v>0</v>
      </c>
      <c r="BE28">
        <f t="shared" si="13"/>
        <v>0</v>
      </c>
      <c r="BF28">
        <f t="shared" si="16"/>
        <v>0</v>
      </c>
      <c r="BG28">
        <f t="shared" si="14"/>
        <v>1</v>
      </c>
    </row>
    <row r="29" spans="1:59" ht="12.75">
      <c r="A29" s="537"/>
      <c r="B29" s="125"/>
      <c r="C29" s="7"/>
      <c r="D29" s="127" t="s">
        <v>99</v>
      </c>
      <c r="E29" s="322">
        <v>1</v>
      </c>
      <c r="F29" s="323">
        <v>1</v>
      </c>
      <c r="G29" s="9"/>
      <c r="H29" s="4"/>
      <c r="AD29" s="268" t="s">
        <v>100</v>
      </c>
      <c r="AE29" s="356">
        <f>(2*AE23*(SIN(AE38)-SIN(AE39))/AE5)^0.5</f>
        <v>0</v>
      </c>
      <c r="AF29" s="5"/>
      <c r="AG29" s="5">
        <v>8</v>
      </c>
      <c r="AH29" s="5"/>
      <c r="AI29" s="5"/>
      <c r="AJ29" s="5"/>
      <c r="AK29" s="5"/>
      <c r="AL29" s="266"/>
      <c r="AO29">
        <f t="shared" si="0"/>
        <v>148.96902673401405</v>
      </c>
      <c r="AP29">
        <v>2.6</v>
      </c>
      <c r="AQ29">
        <f t="shared" si="1"/>
        <v>0.260562328522317</v>
      </c>
      <c r="AR29">
        <f t="shared" si="2"/>
        <v>0.3662505856877063</v>
      </c>
      <c r="AS29" s="232">
        <f t="shared" si="7"/>
        <v>0.33175826054288876</v>
      </c>
      <c r="AT29">
        <f t="shared" si="3"/>
        <v>0.3662505856877063</v>
      </c>
      <c r="AU29">
        <f t="shared" si="4"/>
        <v>0.6337494143122937</v>
      </c>
      <c r="AV29">
        <f t="shared" si="5"/>
        <v>0.1337494143122937</v>
      </c>
      <c r="AW29" s="232">
        <f t="shared" si="17"/>
        <v>0.33175826054288876</v>
      </c>
      <c r="AY29">
        <f t="shared" si="15"/>
        <v>1</v>
      </c>
      <c r="AZ29">
        <f t="shared" si="8"/>
        <v>0.01866025403784439</v>
      </c>
      <c r="BA29">
        <f t="shared" si="9"/>
        <v>-0.03732050807568878</v>
      </c>
      <c r="BB29">
        <f t="shared" si="10"/>
        <v>0</v>
      </c>
      <c r="BC29">
        <f t="shared" si="11"/>
        <v>0</v>
      </c>
      <c r="BD29">
        <f t="shared" si="12"/>
        <v>0</v>
      </c>
      <c r="BE29">
        <f t="shared" si="13"/>
        <v>0</v>
      </c>
      <c r="BF29">
        <f t="shared" si="16"/>
        <v>0</v>
      </c>
      <c r="BG29">
        <f t="shared" si="14"/>
        <v>1</v>
      </c>
    </row>
    <row r="30" spans="1:59" ht="12.75">
      <c r="A30" s="537"/>
      <c r="B30" s="125"/>
      <c r="C30" s="7"/>
      <c r="D30" s="127"/>
      <c r="E30" s="206"/>
      <c r="F30" s="159"/>
      <c r="G30" s="9"/>
      <c r="H30" s="4"/>
      <c r="AD30" s="268" t="s">
        <v>101</v>
      </c>
      <c r="AE30" s="359">
        <v>1</v>
      </c>
      <c r="AF30" s="5"/>
      <c r="AG30" s="5"/>
      <c r="AH30" s="5"/>
      <c r="AI30" s="5"/>
      <c r="AJ30" s="5"/>
      <c r="AK30" s="5"/>
      <c r="AL30" s="266"/>
      <c r="AO30">
        <f t="shared" si="0"/>
        <v>154.6986046853223</v>
      </c>
      <c r="AP30">
        <v>2.7</v>
      </c>
      <c r="AQ30">
        <f t="shared" si="1"/>
        <v>0.28407751497077127</v>
      </c>
      <c r="AR30">
        <f t="shared" si="2"/>
        <v>0.39049665645347925</v>
      </c>
      <c r="AS30" s="232">
        <f t="shared" si="7"/>
        <v>0.3616987258308812</v>
      </c>
      <c r="AT30">
        <f t="shared" si="3"/>
        <v>0.39049665645347925</v>
      </c>
      <c r="AU30">
        <f t="shared" si="4"/>
        <v>0.6095033435465207</v>
      </c>
      <c r="AV30">
        <f t="shared" si="5"/>
        <v>0.10950334354652075</v>
      </c>
      <c r="AW30" s="232">
        <f t="shared" si="17"/>
        <v>0.3616987258308812</v>
      </c>
      <c r="AY30">
        <f t="shared" si="15"/>
        <v>1</v>
      </c>
      <c r="AZ30">
        <f t="shared" si="8"/>
        <v>0.01866025403784439</v>
      </c>
      <c r="BA30">
        <f t="shared" si="9"/>
        <v>-0.03732050807568878</v>
      </c>
      <c r="BB30">
        <f t="shared" si="10"/>
        <v>0</v>
      </c>
      <c r="BC30">
        <f t="shared" si="11"/>
        <v>0</v>
      </c>
      <c r="BD30">
        <f t="shared" si="12"/>
        <v>0</v>
      </c>
      <c r="BE30">
        <f t="shared" si="13"/>
        <v>0</v>
      </c>
      <c r="BF30">
        <f t="shared" si="16"/>
        <v>0</v>
      </c>
      <c r="BG30">
        <f t="shared" si="14"/>
        <v>1</v>
      </c>
    </row>
    <row r="31" spans="1:59" ht="12.75">
      <c r="A31" s="538"/>
      <c r="B31" s="125"/>
      <c r="C31" s="7"/>
      <c r="D31" s="155" t="s">
        <v>102</v>
      </c>
      <c r="E31" s="220">
        <f>E25*E26*E27*E28*E29</f>
        <v>1</v>
      </c>
      <c r="F31" s="222">
        <f>F25*F26*F27*F28*F29*F23</f>
        <v>1</v>
      </c>
      <c r="G31" s="9"/>
      <c r="H31" s="4" t="s">
        <v>103</v>
      </c>
      <c r="I31" s="4"/>
      <c r="J31" s="4" t="s">
        <v>104</v>
      </c>
      <c r="AD31" s="268" t="s">
        <v>105</v>
      </c>
      <c r="AE31" s="348"/>
      <c r="AF31" s="5"/>
      <c r="AG31" s="5"/>
      <c r="AH31" s="5"/>
      <c r="AI31" s="5"/>
      <c r="AJ31" s="5"/>
      <c r="AK31" s="5"/>
      <c r="AL31" s="266"/>
      <c r="AO31">
        <f t="shared" si="0"/>
        <v>160.42818263663048</v>
      </c>
      <c r="AP31">
        <v>2.8</v>
      </c>
      <c r="AQ31">
        <f t="shared" si="1"/>
        <v>0.30812648123051184</v>
      </c>
      <c r="AR31">
        <f t="shared" si="2"/>
        <v>0.41501642854987947</v>
      </c>
      <c r="AS31" s="232">
        <f t="shared" si="7"/>
        <v>0.39231882068278456</v>
      </c>
      <c r="AT31">
        <f t="shared" si="3"/>
        <v>0.41501642854987947</v>
      </c>
      <c r="AU31">
        <f t="shared" si="4"/>
        <v>0.5849835714501206</v>
      </c>
      <c r="AV31">
        <f t="shared" si="5"/>
        <v>0.08498357145012053</v>
      </c>
      <c r="AW31" s="232">
        <f t="shared" si="17"/>
        <v>0.39231882068278456</v>
      </c>
      <c r="AY31">
        <f t="shared" si="15"/>
        <v>1</v>
      </c>
      <c r="AZ31">
        <f t="shared" si="8"/>
        <v>0.01866025403784439</v>
      </c>
      <c r="BA31">
        <f t="shared" si="9"/>
        <v>-0.03732050807568878</v>
      </c>
      <c r="BB31">
        <f t="shared" si="10"/>
        <v>0</v>
      </c>
      <c r="BC31">
        <f t="shared" si="11"/>
        <v>0</v>
      </c>
      <c r="BD31">
        <f t="shared" si="12"/>
        <v>0</v>
      </c>
      <c r="BE31">
        <f t="shared" si="13"/>
        <v>0</v>
      </c>
      <c r="BF31">
        <f t="shared" si="16"/>
        <v>0</v>
      </c>
      <c r="BG31">
        <f t="shared" si="14"/>
        <v>1</v>
      </c>
    </row>
    <row r="32" spans="1:59" ht="12.75">
      <c r="A32" s="35" t="s">
        <v>106</v>
      </c>
      <c r="B32" s="433">
        <v>1.25</v>
      </c>
      <c r="C32" t="s">
        <v>107</v>
      </c>
      <c r="D32" s="155"/>
      <c r="E32" s="220"/>
      <c r="F32" s="222"/>
      <c r="G32" s="9"/>
      <c r="H32" s="442" t="s">
        <v>108</v>
      </c>
      <c r="I32" s="4" t="s">
        <v>109</v>
      </c>
      <c r="J32" s="4">
        <v>1.25</v>
      </c>
      <c r="AD32" s="268" t="s">
        <v>110</v>
      </c>
      <c r="AE32" s="348"/>
      <c r="AF32" s="5"/>
      <c r="AG32" s="5"/>
      <c r="AH32" s="5"/>
      <c r="AI32" s="5"/>
      <c r="AJ32" s="5"/>
      <c r="AK32" s="5"/>
      <c r="AL32" s="266"/>
      <c r="AO32">
        <f t="shared" si="0"/>
        <v>166.15776058793872</v>
      </c>
      <c r="AP32">
        <v>2.9</v>
      </c>
      <c r="AQ32">
        <f t="shared" si="1"/>
        <v>0.3325938338482522</v>
      </c>
      <c r="AR32">
        <f t="shared" si="2"/>
        <v>0.4397486153163167</v>
      </c>
      <c r="AS32" s="232">
        <f t="shared" si="7"/>
        <v>0.423471621590671</v>
      </c>
      <c r="AT32">
        <f t="shared" si="3"/>
        <v>0.4397486153163167</v>
      </c>
      <c r="AU32">
        <f t="shared" si="4"/>
        <v>0.5602513846836833</v>
      </c>
      <c r="AV32">
        <f t="shared" si="5"/>
        <v>0.060251384683683296</v>
      </c>
      <c r="AW32" s="232">
        <f t="shared" si="17"/>
        <v>0.423471621590671</v>
      </c>
      <c r="AY32">
        <f t="shared" si="15"/>
        <v>1</v>
      </c>
      <c r="AZ32">
        <f t="shared" si="8"/>
        <v>0.01866025403784439</v>
      </c>
      <c r="BA32">
        <f t="shared" si="9"/>
        <v>-0.03732050807568878</v>
      </c>
      <c r="BB32">
        <f t="shared" si="10"/>
        <v>0</v>
      </c>
      <c r="BC32">
        <f t="shared" si="11"/>
        <v>0</v>
      </c>
      <c r="BD32">
        <f t="shared" si="12"/>
        <v>0</v>
      </c>
      <c r="BE32">
        <f t="shared" si="13"/>
        <v>0</v>
      </c>
      <c r="BF32">
        <f t="shared" si="16"/>
        <v>0</v>
      </c>
      <c r="BG32">
        <f t="shared" si="14"/>
        <v>1</v>
      </c>
    </row>
    <row r="33" spans="1:59" ht="12.75">
      <c r="A33" s="34"/>
      <c r="B33" s="5"/>
      <c r="D33" s="126"/>
      <c r="E33" s="75" t="s">
        <v>111</v>
      </c>
      <c r="F33" s="159">
        <f>(F14+F15*E31+F16*F31)*B32-F18*1</f>
        <v>0</v>
      </c>
      <c r="H33" s="4"/>
      <c r="I33" s="4"/>
      <c r="J33" s="4"/>
      <c r="AD33" s="268" t="s">
        <v>112</v>
      </c>
      <c r="AE33" s="348"/>
      <c r="AF33" s="5"/>
      <c r="AG33" s="5"/>
      <c r="AH33" s="5"/>
      <c r="AI33" s="5"/>
      <c r="AJ33" s="5"/>
      <c r="AK33" s="5"/>
      <c r="AL33" s="266"/>
      <c r="AO33">
        <f t="shared" si="0"/>
        <v>171.88733853924697</v>
      </c>
      <c r="AP33">
        <v>3</v>
      </c>
      <c r="AQ33">
        <f t="shared" si="1"/>
        <v>0.3573599989925166</v>
      </c>
      <c r="AR33">
        <f t="shared" si="2"/>
        <v>0.46463139916614854</v>
      </c>
      <c r="AS33" s="232">
        <f t="shared" si="7"/>
        <v>0.45500488242379</v>
      </c>
      <c r="AT33">
        <f t="shared" si="3"/>
        <v>0.46463139916614854</v>
      </c>
      <c r="AU33">
        <f t="shared" si="4"/>
        <v>0.5353686008338514</v>
      </c>
      <c r="AV33">
        <f t="shared" si="5"/>
        <v>0.03536860083385146</v>
      </c>
      <c r="AW33" s="232">
        <f t="shared" si="17"/>
        <v>0.45500488242379</v>
      </c>
      <c r="AY33">
        <f t="shared" si="15"/>
        <v>1</v>
      </c>
      <c r="AZ33">
        <f t="shared" si="8"/>
        <v>0.01866025403784439</v>
      </c>
      <c r="BA33">
        <f t="shared" si="9"/>
        <v>-0.03732050807568878</v>
      </c>
      <c r="BB33">
        <f t="shared" si="10"/>
        <v>0</v>
      </c>
      <c r="BC33">
        <f t="shared" si="11"/>
        <v>0</v>
      </c>
      <c r="BD33">
        <f t="shared" si="12"/>
        <v>0</v>
      </c>
      <c r="BE33">
        <f t="shared" si="13"/>
        <v>0</v>
      </c>
      <c r="BF33">
        <f t="shared" si="16"/>
        <v>0</v>
      </c>
      <c r="BG33">
        <f t="shared" si="14"/>
        <v>1</v>
      </c>
    </row>
    <row r="34" spans="1:59" ht="12.75">
      <c r="A34" s="41"/>
      <c r="B34" s="5"/>
      <c r="D34" s="126"/>
      <c r="E34" s="18" t="s">
        <v>113</v>
      </c>
      <c r="F34" s="159">
        <f>F33*F22*1</f>
        <v>0</v>
      </c>
      <c r="G34" s="10"/>
      <c r="H34" s="121"/>
      <c r="K34" s="2"/>
      <c r="L34" s="4"/>
      <c r="M34" s="4"/>
      <c r="N34" s="4"/>
      <c r="AD34" s="268" t="s">
        <v>114</v>
      </c>
      <c r="AE34" s="356">
        <f>(1-AE7)^0.4532</f>
        <v>1</v>
      </c>
      <c r="AF34" s="5"/>
      <c r="AG34" s="5">
        <v>11</v>
      </c>
      <c r="AH34" s="5"/>
      <c r="AI34" s="5"/>
      <c r="AJ34" s="5"/>
      <c r="AK34" s="5"/>
      <c r="AL34" s="266"/>
      <c r="AO34">
        <f t="shared" si="0"/>
        <v>177.6169164905552</v>
      </c>
      <c r="AP34">
        <v>3.1</v>
      </c>
      <c r="AQ34">
        <f t="shared" si="1"/>
        <v>0.3823024171958387</v>
      </c>
      <c r="AR34">
        <f t="shared" si="2"/>
        <v>0.4896025860984538</v>
      </c>
      <c r="AS34" s="232">
        <f t="shared" si="7"/>
        <v>0.4867625556215819</v>
      </c>
      <c r="AT34">
        <f t="shared" si="3"/>
        <v>0.4896025860984538</v>
      </c>
      <c r="AU34">
        <f t="shared" si="4"/>
        <v>0.5103974139015461</v>
      </c>
      <c r="AV34">
        <f t="shared" si="5"/>
        <v>0.010397413901546193</v>
      </c>
      <c r="AW34" s="232">
        <f t="shared" si="17"/>
        <v>0.4867625556215819</v>
      </c>
      <c r="AY34">
        <f t="shared" si="15"/>
        <v>1</v>
      </c>
      <c r="AZ34">
        <f t="shared" si="8"/>
        <v>0.01866025403784439</v>
      </c>
      <c r="BA34">
        <f t="shared" si="9"/>
        <v>-0.03732050807568878</v>
      </c>
      <c r="BB34">
        <f t="shared" si="10"/>
        <v>0</v>
      </c>
      <c r="BC34">
        <f t="shared" si="11"/>
        <v>0</v>
      </c>
      <c r="BD34">
        <f t="shared" si="12"/>
        <v>0</v>
      </c>
      <c r="BE34">
        <f t="shared" si="13"/>
        <v>0</v>
      </c>
      <c r="BF34">
        <f t="shared" si="16"/>
        <v>0</v>
      </c>
      <c r="BG34">
        <f t="shared" si="14"/>
        <v>1</v>
      </c>
    </row>
    <row r="35" spans="1:59" ht="12.75">
      <c r="A35" s="41"/>
      <c r="B35" s="5"/>
      <c r="C35" s="18"/>
      <c r="D35" s="126"/>
      <c r="E35" s="161"/>
      <c r="F35" s="159"/>
      <c r="G35" s="10"/>
      <c r="H35" s="4"/>
      <c r="K35" s="2"/>
      <c r="L35" s="4"/>
      <c r="M35" s="4"/>
      <c r="N35" s="4"/>
      <c r="AD35" s="360" t="s">
        <v>115</v>
      </c>
      <c r="AE35" s="356" t="e">
        <f>AE28/(AE29+AE28)</f>
        <v>#DIV/0!</v>
      </c>
      <c r="AF35" s="5"/>
      <c r="AG35" s="5">
        <v>9</v>
      </c>
      <c r="AH35" s="5"/>
      <c r="AI35" s="5"/>
      <c r="AJ35" s="5"/>
      <c r="AK35" s="5"/>
      <c r="AL35" s="266"/>
      <c r="AO35">
        <f t="shared" si="0"/>
        <v>183.34649444186343</v>
      </c>
      <c r="AP35">
        <v>3.2</v>
      </c>
      <c r="AQ35">
        <f t="shared" si="1"/>
        <v>0.40729676792844755</v>
      </c>
      <c r="AR35">
        <f t="shared" si="2"/>
        <v>0.5145997611506444</v>
      </c>
      <c r="AS35" s="232">
        <f t="shared" si="7"/>
        <v>0.5185863513693197</v>
      </c>
      <c r="AT35">
        <f t="shared" si="3"/>
        <v>0.5145997611506444</v>
      </c>
      <c r="AU35">
        <f t="shared" si="4"/>
        <v>0.48540023884935557</v>
      </c>
      <c r="AV35">
        <f t="shared" si="5"/>
        <v>-0.01459976115064443</v>
      </c>
      <c r="AW35" s="232">
        <f t="shared" si="17"/>
        <v>0.5185863513693197</v>
      </c>
      <c r="AY35">
        <f t="shared" si="15"/>
        <v>1</v>
      </c>
      <c r="AZ35">
        <f t="shared" si="8"/>
        <v>0.01866025403784439</v>
      </c>
      <c r="BA35">
        <f t="shared" si="9"/>
        <v>-0.03732050807568878</v>
      </c>
      <c r="BB35">
        <f t="shared" si="10"/>
        <v>0</v>
      </c>
      <c r="BC35">
        <f t="shared" si="11"/>
        <v>0</v>
      </c>
      <c r="BD35">
        <f t="shared" si="12"/>
        <v>0</v>
      </c>
      <c r="BE35">
        <f t="shared" si="13"/>
        <v>0</v>
      </c>
      <c r="BF35">
        <f t="shared" si="16"/>
        <v>0</v>
      </c>
      <c r="BG35">
        <f t="shared" si="14"/>
        <v>1</v>
      </c>
    </row>
    <row r="36" spans="1:59" ht="20.25" customHeight="1" thickBot="1">
      <c r="A36" s="109"/>
      <c r="B36" s="204"/>
      <c r="C36" s="204"/>
      <c r="D36" s="223"/>
      <c r="E36" s="224" t="s">
        <v>116</v>
      </c>
      <c r="F36" s="225">
        <f>ROUNDUP(F34*B10,-1)</f>
        <v>0</v>
      </c>
      <c r="G36" s="11"/>
      <c r="H36" s="4"/>
      <c r="K36" s="2"/>
      <c r="L36" s="3"/>
      <c r="M36" s="3"/>
      <c r="N36" s="3"/>
      <c r="AD36" s="360" t="s">
        <v>117</v>
      </c>
      <c r="AE36" s="349">
        <f>$B$64</f>
        <v>0.8</v>
      </c>
      <c r="AF36" s="5" t="s">
        <v>118</v>
      </c>
      <c r="AG36" s="5"/>
      <c r="AH36" s="5"/>
      <c r="AI36" s="5"/>
      <c r="AJ36" s="5"/>
      <c r="AK36" s="5"/>
      <c r="AL36" s="266"/>
      <c r="AO36">
        <f aca="true" t="shared" si="18" ref="AO36:AO66">180*AP36/PI()</f>
        <v>189.07607239317167</v>
      </c>
      <c r="AP36">
        <v>3.3</v>
      </c>
      <c r="AQ36">
        <f aca="true" t="shared" si="19" ref="AQ36:AQ66">0.5*($AQ$1/2)^2*(AP36-SIN(AP36))</f>
        <v>0.432218211767906</v>
      </c>
      <c r="AR36">
        <f aca="true" t="shared" si="20" ref="AR36:AR66">$AQ$1*(1-COS(AP36/2))/2</f>
        <v>0.5395604444033669</v>
      </c>
      <c r="AS36" s="232">
        <f t="shared" si="7"/>
        <v>0.5503173191776147</v>
      </c>
      <c r="AT36">
        <f aca="true" t="shared" si="21" ref="AT36:AT66">AR36/$AQ$1</f>
        <v>0.5395604444033669</v>
      </c>
      <c r="AU36">
        <f aca="true" t="shared" si="22" ref="AU36:AU66">1-AT36</f>
        <v>0.4604395555966331</v>
      </c>
      <c r="AV36">
        <f aca="true" t="shared" si="23" ref="AV36:AV66">0.5-AT36</f>
        <v>-0.03956044440336692</v>
      </c>
      <c r="AW36" s="232">
        <f t="shared" si="17"/>
        <v>0.5503173191776147</v>
      </c>
      <c r="AY36">
        <f t="shared" si="15"/>
        <v>1</v>
      </c>
      <c r="AZ36">
        <f t="shared" si="8"/>
        <v>0.01866025403784439</v>
      </c>
      <c r="BA36">
        <f t="shared" si="9"/>
        <v>-0.03732050807568878</v>
      </c>
      <c r="BB36">
        <f t="shared" si="10"/>
        <v>0</v>
      </c>
      <c r="BC36">
        <f t="shared" si="11"/>
        <v>0</v>
      </c>
      <c r="BD36">
        <f t="shared" si="12"/>
        <v>0</v>
      </c>
      <c r="BE36">
        <f t="shared" si="13"/>
        <v>0</v>
      </c>
      <c r="BF36">
        <f t="shared" si="16"/>
        <v>0</v>
      </c>
      <c r="BG36">
        <f t="shared" si="14"/>
        <v>1</v>
      </c>
    </row>
    <row r="37" spans="1:59" ht="20.25" customHeight="1">
      <c r="A37" s="109"/>
      <c r="B37" s="31"/>
      <c r="C37" s="31"/>
      <c r="D37" s="31"/>
      <c r="E37" s="32"/>
      <c r="F37" s="116"/>
      <c r="G37" s="11"/>
      <c r="H37" s="4"/>
      <c r="K37" s="2"/>
      <c r="L37" s="3"/>
      <c r="M37" s="3"/>
      <c r="N37" s="3"/>
      <c r="AD37" s="360" t="s">
        <v>119</v>
      </c>
      <c r="AE37" s="356">
        <f>IF(AE36&gt;0.35*(3.364-AE7),AE36,0.35*(3.364-AE7))</f>
        <v>1.1773999999999998</v>
      </c>
      <c r="AF37" s="5"/>
      <c r="AG37" s="5">
        <v>2</v>
      </c>
      <c r="AH37" s="5"/>
      <c r="AI37" s="5"/>
      <c r="AJ37" s="5"/>
      <c r="AK37" s="5"/>
      <c r="AL37" s="266"/>
      <c r="AO37">
        <f t="shared" si="18"/>
        <v>194.8056503444799</v>
      </c>
      <c r="AP37">
        <v>3.4</v>
      </c>
      <c r="AQ37">
        <f t="shared" si="19"/>
        <v>0.45694263775335386</v>
      </c>
      <c r="AR37">
        <f t="shared" si="20"/>
        <v>0.5644222471477623</v>
      </c>
      <c r="AS37" s="232">
        <f aca="true" t="shared" si="24" ref="AS37:AS66">AQ37/$AQ$68</f>
        <v>0.5817974360631647</v>
      </c>
      <c r="AT37">
        <f t="shared" si="21"/>
        <v>0.5644222471477623</v>
      </c>
      <c r="AU37">
        <f t="shared" si="22"/>
        <v>0.43557775285223765</v>
      </c>
      <c r="AV37">
        <f t="shared" si="23"/>
        <v>-0.06442224714776235</v>
      </c>
      <c r="AW37" s="232">
        <f t="shared" si="17"/>
        <v>0.5817974360631647</v>
      </c>
      <c r="AY37">
        <f t="shared" si="15"/>
        <v>1</v>
      </c>
      <c r="AZ37">
        <f t="shared" si="8"/>
        <v>0.01866025403784439</v>
      </c>
      <c r="BA37">
        <f t="shared" si="9"/>
        <v>-0.03732050807568878</v>
      </c>
      <c r="BB37">
        <f t="shared" si="10"/>
        <v>0</v>
      </c>
      <c r="BC37">
        <f t="shared" si="11"/>
        <v>0</v>
      </c>
      <c r="BD37">
        <f t="shared" si="12"/>
        <v>0</v>
      </c>
      <c r="BE37">
        <f t="shared" si="13"/>
        <v>0</v>
      </c>
      <c r="BF37">
        <f t="shared" si="16"/>
        <v>0</v>
      </c>
      <c r="BG37">
        <f t="shared" si="14"/>
        <v>1</v>
      </c>
    </row>
    <row r="38" spans="1:59" ht="20.25" customHeight="1">
      <c r="A38" s="109"/>
      <c r="B38" s="31"/>
      <c r="C38" s="31"/>
      <c r="D38" s="31"/>
      <c r="E38" s="32"/>
      <c r="F38" s="116"/>
      <c r="G38" s="11"/>
      <c r="H38" s="4"/>
      <c r="K38" s="2"/>
      <c r="L38" s="3"/>
      <c r="M38" s="3"/>
      <c r="N38" s="3"/>
      <c r="AD38" s="360" t="s">
        <v>120</v>
      </c>
      <c r="AE38" s="356">
        <f>PI()/2-(AE39-PI()/2)*((0.3386+0.1041*AE36)+(1.54-2.5673*AE36)*AE7)</f>
        <v>0.20552561334333141</v>
      </c>
      <c r="AF38" s="5"/>
      <c r="AG38" s="5">
        <v>5</v>
      </c>
      <c r="AH38" s="5"/>
      <c r="AI38" s="5"/>
      <c r="AJ38" s="5"/>
      <c r="AK38" s="5"/>
      <c r="AL38" s="266"/>
      <c r="AO38">
        <f t="shared" si="18"/>
        <v>200.53522829578813</v>
      </c>
      <c r="AP38">
        <v>3.5</v>
      </c>
      <c r="AQ38">
        <f t="shared" si="19"/>
        <v>0.4813479034612025</v>
      </c>
      <c r="AR38">
        <f t="shared" si="20"/>
        <v>0.589123027824746</v>
      </c>
      <c r="AS38" s="232">
        <f t="shared" si="24"/>
        <v>0.6128711854621666</v>
      </c>
      <c r="AT38">
        <f t="shared" si="21"/>
        <v>0.589123027824746</v>
      </c>
      <c r="AU38">
        <f t="shared" si="22"/>
        <v>0.410876972175254</v>
      </c>
      <c r="AV38">
        <f t="shared" si="23"/>
        <v>-0.08912302782474602</v>
      </c>
      <c r="AW38" s="232">
        <f t="shared" si="17"/>
        <v>0.6128711854621666</v>
      </c>
      <c r="AY38">
        <f t="shared" si="15"/>
        <v>1</v>
      </c>
      <c r="AZ38">
        <f t="shared" si="8"/>
        <v>0.01866025403784439</v>
      </c>
      <c r="BA38">
        <f t="shared" si="9"/>
        <v>-0.03732050807568878</v>
      </c>
      <c r="BB38">
        <f t="shared" si="10"/>
        <v>0</v>
      </c>
      <c r="BC38">
        <f t="shared" si="11"/>
        <v>0</v>
      </c>
      <c r="BD38">
        <f t="shared" si="12"/>
        <v>0</v>
      </c>
      <c r="BE38">
        <f t="shared" si="13"/>
        <v>0</v>
      </c>
      <c r="BF38">
        <f t="shared" si="16"/>
        <v>0</v>
      </c>
      <c r="BG38">
        <f t="shared" si="14"/>
        <v>1</v>
      </c>
    </row>
    <row r="39" spans="1:60" s="1" customFormat="1" ht="12.75">
      <c r="A39" s="245" t="s">
        <v>121</v>
      </c>
      <c r="B39" s="244"/>
      <c r="C39" s="93"/>
      <c r="D39" s="93"/>
      <c r="E39" s="94"/>
      <c r="F39" s="97"/>
      <c r="G39" s="14"/>
      <c r="H39" s="2"/>
      <c r="K39" s="2"/>
      <c r="L39" s="3"/>
      <c r="M39" s="3"/>
      <c r="N39" s="3"/>
      <c r="AD39" s="360" t="s">
        <v>122</v>
      </c>
      <c r="AE39" s="356">
        <f>2.5307*(1.2796-AE7)*(1-EXP(-19.42*(AE37-AE36)))+PI()/2</f>
        <v>4.806955219019143</v>
      </c>
      <c r="AF39" s="5"/>
      <c r="AG39" s="5">
        <v>3</v>
      </c>
      <c r="AH39" s="5"/>
      <c r="AI39" s="5"/>
      <c r="AJ39" s="5"/>
      <c r="AK39" s="5"/>
      <c r="AL39" s="266"/>
      <c r="AO39">
        <f t="shared" si="18"/>
        <v>206.26480624709637</v>
      </c>
      <c r="AP39">
        <v>3.6</v>
      </c>
      <c r="AQ39">
        <f t="shared" si="19"/>
        <v>0.5053150554118566</v>
      </c>
      <c r="AR39">
        <f t="shared" si="20"/>
        <v>0.6136010473465435</v>
      </c>
      <c r="AS39" s="232">
        <f t="shared" si="24"/>
        <v>0.6433871111004158</v>
      </c>
      <c r="AT39">
        <f t="shared" si="21"/>
        <v>0.6136010473465435</v>
      </c>
      <c r="AU39">
        <f t="shared" si="22"/>
        <v>0.3863989526534565</v>
      </c>
      <c r="AV39">
        <f t="shared" si="23"/>
        <v>-0.11360104734654353</v>
      </c>
      <c r="AW39" s="232">
        <f t="shared" si="17"/>
        <v>0.6433871111004158</v>
      </c>
      <c r="AX39"/>
      <c r="AY39">
        <f t="shared" si="15"/>
        <v>1</v>
      </c>
      <c r="AZ39">
        <f aca="true" t="shared" si="25" ref="AZ39:AZ70">(AY39/100-0.005)/TAN($AZ$4*PI()/180)</f>
        <v>0.01866025403784439</v>
      </c>
      <c r="BA39">
        <f aca="true" t="shared" si="26" ref="BA39:BA70">$AZ$1-2*AZ39</f>
        <v>-0.03732050807568878</v>
      </c>
      <c r="BB39">
        <f aca="true" t="shared" si="27" ref="BB39:BB70">IF($AZ$5/BA39&lt;0.5,$AZ$5/BA39,0.5)</f>
        <v>0</v>
      </c>
      <c r="BC39">
        <f aca="true" t="shared" si="28" ref="BC39:BC70">IF(BF39+BG39=2,3.1316*BB39^4-1.453*BB39^3+0.5868*BB39^2-1.3257*BB39+0.5,0)</f>
        <v>0</v>
      </c>
      <c r="BD39">
        <f aca="true" t="shared" si="29" ref="BD39:BD70">IF(BF39+BG39=2,(PI()*BA39^2/4),0)*0.01</f>
        <v>0</v>
      </c>
      <c r="BE39">
        <f aca="true" t="shared" si="30" ref="BE39:BE70">BD39*BC39</f>
        <v>0</v>
      </c>
      <c r="BF39">
        <f t="shared" si="16"/>
        <v>0</v>
      </c>
      <c r="BG39">
        <f aca="true" t="shared" si="31" ref="BG39:BG70">IF(BB39=0.5,0,1)</f>
        <v>1</v>
      </c>
      <c r="BH39"/>
    </row>
    <row r="40" spans="1:60" s="1" customFormat="1" ht="12.75">
      <c r="A40" s="96"/>
      <c r="B40" s="93"/>
      <c r="C40" s="93"/>
      <c r="D40" s="93"/>
      <c r="E40" s="94"/>
      <c r="F40" s="97"/>
      <c r="G40" s="14"/>
      <c r="H40" s="2"/>
      <c r="K40" s="2"/>
      <c r="L40" s="3"/>
      <c r="M40" s="3"/>
      <c r="N40" s="3"/>
      <c r="AD40" s="360" t="s">
        <v>123</v>
      </c>
      <c r="AE40" s="356">
        <f>AE39</f>
        <v>4.806955219019143</v>
      </c>
      <c r="AF40" s="5"/>
      <c r="AG40" s="5">
        <v>4</v>
      </c>
      <c r="AH40" s="5"/>
      <c r="AI40" s="5"/>
      <c r="AJ40" s="5"/>
      <c r="AK40" s="5"/>
      <c r="AL40" s="266"/>
      <c r="AO40">
        <f t="shared" si="18"/>
        <v>211.9943841984046</v>
      </c>
      <c r="AP40">
        <v>3.7</v>
      </c>
      <c r="AQ40">
        <f t="shared" si="19"/>
        <v>0.5287295176135617</v>
      </c>
      <c r="AR40">
        <f t="shared" si="20"/>
        <v>0.6377951234122565</v>
      </c>
      <c r="AS40" s="232">
        <f t="shared" si="24"/>
        <v>0.6731993302943334</v>
      </c>
      <c r="AT40">
        <f t="shared" si="21"/>
        <v>0.6377951234122565</v>
      </c>
      <c r="AU40">
        <f t="shared" si="22"/>
        <v>0.3622048765877435</v>
      </c>
      <c r="AV40">
        <f t="shared" si="23"/>
        <v>-0.13779512341225653</v>
      </c>
      <c r="AW40" s="232">
        <f t="shared" si="17"/>
        <v>0.6731993302943334</v>
      </c>
      <c r="AX40"/>
      <c r="AY40">
        <f aca="true" t="shared" si="32" ref="AY40:AY71">IF(BA39-($AZ$1/4)&gt;0,AY39+1,AY39)</f>
        <v>1</v>
      </c>
      <c r="AZ40">
        <f t="shared" si="25"/>
        <v>0.01866025403784439</v>
      </c>
      <c r="BA40">
        <f t="shared" si="26"/>
        <v>-0.03732050807568878</v>
      </c>
      <c r="BB40">
        <f t="shared" si="27"/>
        <v>0</v>
      </c>
      <c r="BC40">
        <f t="shared" si="28"/>
        <v>0</v>
      </c>
      <c r="BD40">
        <f t="shared" si="29"/>
        <v>0</v>
      </c>
      <c r="BE40">
        <f t="shared" si="30"/>
        <v>0</v>
      </c>
      <c r="BF40">
        <f aca="true" t="shared" si="33" ref="BF40:BF71">AY40-AY39</f>
        <v>0</v>
      </c>
      <c r="BG40">
        <f t="shared" si="31"/>
        <v>1</v>
      </c>
      <c r="BH40"/>
    </row>
    <row r="41" spans="1:60" s="1" customFormat="1" ht="25.5">
      <c r="A41" s="96"/>
      <c r="B41" s="13" t="s">
        <v>124</v>
      </c>
      <c r="C41" s="93" t="s">
        <v>125</v>
      </c>
      <c r="D41" s="95" t="s">
        <v>126</v>
      </c>
      <c r="E41"/>
      <c r="F41" s="97"/>
      <c r="G41" s="14"/>
      <c r="H41" s="13"/>
      <c r="I41" s="7"/>
      <c r="J41"/>
      <c r="K41"/>
      <c r="L41" s="3"/>
      <c r="M41" s="3"/>
      <c r="N41" s="319" t="s">
        <v>126</v>
      </c>
      <c r="O41" s="318"/>
      <c r="AD41" s="360" t="s">
        <v>80</v>
      </c>
      <c r="AE41" s="356" t="e">
        <f>(AE7*AE42*(1-AE4+AE4*AE30*AE27)+AE6*(AE43-AE42)*(1-AE4)+AE7*AE4*AE30*(1-AE27))/AE7</f>
        <v>#DIV/0!</v>
      </c>
      <c r="AF41" s="5"/>
      <c r="AG41" s="5">
        <v>1</v>
      </c>
      <c r="AH41" s="5"/>
      <c r="AI41" s="5"/>
      <c r="AJ41" s="5"/>
      <c r="AK41" s="5"/>
      <c r="AL41" s="266"/>
      <c r="AO41">
        <f t="shared" si="18"/>
        <v>217.72396214971283</v>
      </c>
      <c r="AP41">
        <v>3.8</v>
      </c>
      <c r="AQ41">
        <f t="shared" si="19"/>
        <v>0.5514822363678399</v>
      </c>
      <c r="AR41">
        <f t="shared" si="20"/>
        <v>0.6616447834317517</v>
      </c>
      <c r="AS41" s="232">
        <f t="shared" si="24"/>
        <v>0.7021689915625179</v>
      </c>
      <c r="AT41">
        <f t="shared" si="21"/>
        <v>0.6616447834317517</v>
      </c>
      <c r="AU41">
        <f t="shared" si="22"/>
        <v>0.3383552165682483</v>
      </c>
      <c r="AV41">
        <f t="shared" si="23"/>
        <v>-0.1616447834317517</v>
      </c>
      <c r="AW41" s="232">
        <f t="shared" si="17"/>
        <v>0.7021689915625179</v>
      </c>
      <c r="AX41"/>
      <c r="AY41">
        <f t="shared" si="32"/>
        <v>1</v>
      </c>
      <c r="AZ41">
        <f t="shared" si="25"/>
        <v>0.01866025403784439</v>
      </c>
      <c r="BA41">
        <f t="shared" si="26"/>
        <v>-0.03732050807568878</v>
      </c>
      <c r="BB41">
        <f t="shared" si="27"/>
        <v>0</v>
      </c>
      <c r="BC41">
        <f t="shared" si="28"/>
        <v>0</v>
      </c>
      <c r="BD41">
        <f t="shared" si="29"/>
        <v>0</v>
      </c>
      <c r="BE41">
        <f t="shared" si="30"/>
        <v>0</v>
      </c>
      <c r="BF41">
        <f t="shared" si="33"/>
        <v>0</v>
      </c>
      <c r="BG41">
        <f t="shared" si="31"/>
        <v>1</v>
      </c>
      <c r="BH41"/>
    </row>
    <row r="42" spans="1:60" s="1" customFormat="1" ht="12.75">
      <c r="A42" s="35" t="s">
        <v>127</v>
      </c>
      <c r="B42" s="110">
        <v>150</v>
      </c>
      <c r="C42" s="432"/>
      <c r="D42" s="7">
        <f>IF($C42&gt;0,IF($C42&lt;$B42,"Too low","Satisfactory"),0)</f>
        <v>0</v>
      </c>
      <c r="E42"/>
      <c r="F42" s="58"/>
      <c r="G42"/>
      <c r="H42"/>
      <c r="I42" s="7"/>
      <c r="J42"/>
      <c r="K42"/>
      <c r="L42" s="3"/>
      <c r="M42" s="3"/>
      <c r="N42" s="314">
        <f>IF($C42&gt;0,IF($C42&lt;$B42,0,1),0)</f>
        <v>0</v>
      </c>
      <c r="O42" s="315"/>
      <c r="AD42" s="360" t="s">
        <v>128</v>
      </c>
      <c r="AE42" s="349">
        <f>AF28</f>
        <v>0</v>
      </c>
      <c r="AF42" s="5"/>
      <c r="AG42" s="5"/>
      <c r="AH42" s="5"/>
      <c r="AI42" s="5"/>
      <c r="AJ42" s="5"/>
      <c r="AK42" s="5"/>
      <c r="AL42" s="266"/>
      <c r="AO42">
        <f t="shared" si="18"/>
        <v>223.45354010102105</v>
      </c>
      <c r="AP42">
        <v>3.9</v>
      </c>
      <c r="AQ42">
        <f t="shared" si="19"/>
        <v>0.5734707698979967</v>
      </c>
      <c r="AR42">
        <f t="shared" si="20"/>
        <v>0.6850904156756434</v>
      </c>
      <c r="AS42" s="232">
        <f t="shared" si="24"/>
        <v>0.7301656619838486</v>
      </c>
      <c r="AT42">
        <f t="shared" si="21"/>
        <v>0.6850904156756434</v>
      </c>
      <c r="AU42">
        <f t="shared" si="22"/>
        <v>0.31490958432435656</v>
      </c>
      <c r="AV42">
        <f t="shared" si="23"/>
        <v>-0.18509041567564344</v>
      </c>
      <c r="AW42" s="232">
        <f t="shared" si="17"/>
        <v>0.7301656619838486</v>
      </c>
      <c r="AX42"/>
      <c r="AY42">
        <f t="shared" si="32"/>
        <v>1</v>
      </c>
      <c r="AZ42">
        <f t="shared" si="25"/>
        <v>0.01866025403784439</v>
      </c>
      <c r="BA42">
        <f t="shared" si="26"/>
        <v>-0.03732050807568878</v>
      </c>
      <c r="BB42">
        <f t="shared" si="27"/>
        <v>0</v>
      </c>
      <c r="BC42">
        <f t="shared" si="28"/>
        <v>0</v>
      </c>
      <c r="BD42">
        <f t="shared" si="29"/>
        <v>0</v>
      </c>
      <c r="BE42">
        <f t="shared" si="30"/>
        <v>0</v>
      </c>
      <c r="BF42">
        <f t="shared" si="33"/>
        <v>0</v>
      </c>
      <c r="BG42">
        <f t="shared" si="31"/>
        <v>1</v>
      </c>
      <c r="BH42"/>
    </row>
    <row r="43" spans="1:60" s="1" customFormat="1" ht="12.75">
      <c r="A43" s="72" t="s">
        <v>129</v>
      </c>
      <c r="B43" s="335">
        <v>15</v>
      </c>
      <c r="C43" s="432"/>
      <c r="D43" s="7">
        <f>IF($C43&gt;0,IF($C43&lt;$B43,"Too low","Satisfactory"),0)</f>
        <v>0</v>
      </c>
      <c r="E43"/>
      <c r="F43" s="58"/>
      <c r="G43"/>
      <c r="H43"/>
      <c r="I43" s="7"/>
      <c r="J43"/>
      <c r="K43"/>
      <c r="L43" s="3"/>
      <c r="M43" s="3"/>
      <c r="N43" s="314">
        <f>IF($C43&gt;0,IF($C43&lt;$B43,0,1),0)</f>
        <v>0</v>
      </c>
      <c r="O43" s="315"/>
      <c r="AD43" s="360" t="s">
        <v>130</v>
      </c>
      <c r="AE43" s="348">
        <v>7.84</v>
      </c>
      <c r="AF43" s="5"/>
      <c r="AG43" s="5"/>
      <c r="AH43" s="5"/>
      <c r="AI43" s="5"/>
      <c r="AJ43" s="5"/>
      <c r="AK43" s="5"/>
      <c r="AL43" s="266"/>
      <c r="AO43">
        <f t="shared" si="18"/>
        <v>229.1831180523293</v>
      </c>
      <c r="AP43">
        <v>4</v>
      </c>
      <c r="AQ43">
        <f t="shared" si="19"/>
        <v>0.594600311913491</v>
      </c>
      <c r="AR43">
        <f t="shared" si="20"/>
        <v>0.7080734182735712</v>
      </c>
      <c r="AS43" s="232">
        <f t="shared" si="24"/>
        <v>0.7570686304401191</v>
      </c>
      <c r="AT43">
        <f t="shared" si="21"/>
        <v>0.7080734182735712</v>
      </c>
      <c r="AU43">
        <f t="shared" si="22"/>
        <v>0.2919265817264288</v>
      </c>
      <c r="AV43">
        <f t="shared" si="23"/>
        <v>-0.20807341827357118</v>
      </c>
      <c r="AW43" s="232">
        <f t="shared" si="17"/>
        <v>0.7570686304401191</v>
      </c>
      <c r="AX43"/>
      <c r="AY43">
        <f t="shared" si="32"/>
        <v>1</v>
      </c>
      <c r="AZ43">
        <f t="shared" si="25"/>
        <v>0.01866025403784439</v>
      </c>
      <c r="BA43">
        <f t="shared" si="26"/>
        <v>-0.03732050807568878</v>
      </c>
      <c r="BB43">
        <f t="shared" si="27"/>
        <v>0</v>
      </c>
      <c r="BC43">
        <f t="shared" si="28"/>
        <v>0</v>
      </c>
      <c r="BD43">
        <f t="shared" si="29"/>
        <v>0</v>
      </c>
      <c r="BE43">
        <f t="shared" si="30"/>
        <v>0</v>
      </c>
      <c r="BF43">
        <f t="shared" si="33"/>
        <v>0</v>
      </c>
      <c r="BG43">
        <f t="shared" si="31"/>
        <v>1</v>
      </c>
      <c r="BH43"/>
    </row>
    <row r="44" spans="1:60" s="1" customFormat="1" ht="12.75">
      <c r="A44" s="35" t="s">
        <v>131</v>
      </c>
      <c r="B44" s="499">
        <v>0.15</v>
      </c>
      <c r="C44" s="498"/>
      <c r="D44" s="7">
        <f>IF($C44&gt;0,IF($C44&lt;$B44,"Too low","Satisfactory"),0)</f>
        <v>0</v>
      </c>
      <c r="E44"/>
      <c r="F44" s="58"/>
      <c r="G44"/>
      <c r="H44"/>
      <c r="I44" s="7"/>
      <c r="J44"/>
      <c r="K44"/>
      <c r="L44" s="3"/>
      <c r="M44" s="3"/>
      <c r="N44" s="314">
        <f>IF($C44&gt;0,IF($C44&lt;$B44,0,1),0)</f>
        <v>0</v>
      </c>
      <c r="O44" s="315"/>
      <c r="AD44" s="360" t="s">
        <v>132</v>
      </c>
      <c r="AE44" s="349">
        <f>$F$66</f>
        <v>0</v>
      </c>
      <c r="AF44" s="5"/>
      <c r="AG44" s="5"/>
      <c r="AH44" s="5"/>
      <c r="AI44" s="5"/>
      <c r="AJ44" s="5"/>
      <c r="AK44" s="5"/>
      <c r="AL44" s="266"/>
      <c r="AO44">
        <f t="shared" si="18"/>
        <v>234.91269600363748</v>
      </c>
      <c r="AP44">
        <v>4.1</v>
      </c>
      <c r="AQ44">
        <f t="shared" si="19"/>
        <v>0.6147846388830512</v>
      </c>
      <c r="AR44">
        <f t="shared" si="20"/>
        <v>0.7305363456883563</v>
      </c>
      <c r="AS44" s="232">
        <f t="shared" si="24"/>
        <v>0.7827681137216276</v>
      </c>
      <c r="AT44">
        <f t="shared" si="21"/>
        <v>0.7305363456883563</v>
      </c>
      <c r="AU44">
        <f t="shared" si="22"/>
        <v>0.26946365431164365</v>
      </c>
      <c r="AV44">
        <f t="shared" si="23"/>
        <v>-0.23053634568835635</v>
      </c>
      <c r="AW44" s="232">
        <f t="shared" si="17"/>
        <v>0.7827681137216276</v>
      </c>
      <c r="AX44"/>
      <c r="AY44">
        <f t="shared" si="32"/>
        <v>1</v>
      </c>
      <c r="AZ44">
        <f t="shared" si="25"/>
        <v>0.01866025403784439</v>
      </c>
      <c r="BA44">
        <f t="shared" si="26"/>
        <v>-0.03732050807568878</v>
      </c>
      <c r="BB44">
        <f t="shared" si="27"/>
        <v>0</v>
      </c>
      <c r="BC44">
        <f t="shared" si="28"/>
        <v>0</v>
      </c>
      <c r="BD44">
        <f t="shared" si="29"/>
        <v>0</v>
      </c>
      <c r="BE44">
        <f t="shared" si="30"/>
        <v>0</v>
      </c>
      <c r="BF44">
        <f t="shared" si="33"/>
        <v>0</v>
      </c>
      <c r="BG44">
        <f t="shared" si="31"/>
        <v>1</v>
      </c>
      <c r="BH44"/>
    </row>
    <row r="45" spans="1:60" s="1" customFormat="1" ht="12.75">
      <c r="A45" s="35" t="s">
        <v>133</v>
      </c>
      <c r="B45" s="499">
        <v>0.25</v>
      </c>
      <c r="C45" s="498"/>
      <c r="D45" s="7">
        <f>IF($C45&gt;0,IF($C45&lt;$B45,"Satisfactory","Too High"),0)</f>
        <v>0</v>
      </c>
      <c r="E45"/>
      <c r="F45" s="58"/>
      <c r="G45"/>
      <c r="H45"/>
      <c r="I45" s="7"/>
      <c r="J45"/>
      <c r="K45"/>
      <c r="L45" s="3"/>
      <c r="M45" s="3"/>
      <c r="N45" s="314">
        <f>IF($C45&gt;0,IF($C45&lt;$B45,1,0),0)</f>
        <v>0</v>
      </c>
      <c r="O45" s="315"/>
      <c r="AD45" s="360"/>
      <c r="AE45" s="5"/>
      <c r="AF45" s="5"/>
      <c r="AG45" s="5"/>
      <c r="AH45" s="5"/>
      <c r="AI45" s="5"/>
      <c r="AJ45" s="5"/>
      <c r="AK45" s="5"/>
      <c r="AL45" s="266"/>
      <c r="AO45">
        <f t="shared" si="18"/>
        <v>240.64227395494575</v>
      </c>
      <c r="AP45">
        <v>4.2</v>
      </c>
      <c r="AQ45">
        <f t="shared" si="19"/>
        <v>0.6339469715516985</v>
      </c>
      <c r="AR45">
        <f t="shared" si="20"/>
        <v>0.7524230522999288</v>
      </c>
      <c r="AS45" s="232">
        <f t="shared" si="24"/>
        <v>0.8071663534447198</v>
      </c>
      <c r="AT45">
        <f t="shared" si="21"/>
        <v>0.7524230522999288</v>
      </c>
      <c r="AU45">
        <f t="shared" si="22"/>
        <v>0.24757694770007121</v>
      </c>
      <c r="AV45">
        <f t="shared" si="23"/>
        <v>-0.2524230522999288</v>
      </c>
      <c r="AW45" s="232">
        <f t="shared" si="17"/>
        <v>0.8071663534447198</v>
      </c>
      <c r="AX45"/>
      <c r="AY45">
        <f t="shared" si="32"/>
        <v>1</v>
      </c>
      <c r="AZ45">
        <f t="shared" si="25"/>
        <v>0.01866025403784439</v>
      </c>
      <c r="BA45">
        <f t="shared" si="26"/>
        <v>-0.03732050807568878</v>
      </c>
      <c r="BB45">
        <f t="shared" si="27"/>
        <v>0</v>
      </c>
      <c r="BC45">
        <f t="shared" si="28"/>
        <v>0</v>
      </c>
      <c r="BD45">
        <f t="shared" si="29"/>
        <v>0</v>
      </c>
      <c r="BE45">
        <f t="shared" si="30"/>
        <v>0</v>
      </c>
      <c r="BF45">
        <f t="shared" si="33"/>
        <v>0</v>
      </c>
      <c r="BG45">
        <f t="shared" si="31"/>
        <v>1</v>
      </c>
      <c r="BH45"/>
    </row>
    <row r="46" spans="1:60" s="1" customFormat="1" ht="12.75">
      <c r="A46" s="35" t="s">
        <v>134</v>
      </c>
      <c r="B46" s="499">
        <v>0.35</v>
      </c>
      <c r="C46" s="498"/>
      <c r="D46" s="7">
        <f>IF($C46&gt;0,IF($C46&lt;$B46,"Too low","Satisfactory"),0)</f>
        <v>0</v>
      </c>
      <c r="E46"/>
      <c r="F46" s="58"/>
      <c r="G46"/>
      <c r="H46"/>
      <c r="I46" s="7"/>
      <c r="J46"/>
      <c r="K46"/>
      <c r="L46" s="3"/>
      <c r="M46" s="3"/>
      <c r="N46" s="314">
        <f>IF($C46&gt;0,IF($C46&lt;$B46,0,1),0)</f>
        <v>0</v>
      </c>
      <c r="O46" s="315"/>
      <c r="AD46" s="360"/>
      <c r="AE46" s="5"/>
      <c r="AF46" s="5"/>
      <c r="AG46" s="5"/>
      <c r="AH46" s="5"/>
      <c r="AI46" s="5"/>
      <c r="AJ46" s="5"/>
      <c r="AK46" s="5"/>
      <c r="AL46" s="266"/>
      <c r="AO46">
        <f t="shared" si="18"/>
        <v>246.371851906254</v>
      </c>
      <c r="AP46">
        <v>4.3</v>
      </c>
      <c r="AQ46">
        <f t="shared" si="19"/>
        <v>0.6520207420936819</v>
      </c>
      <c r="AR46">
        <f t="shared" si="20"/>
        <v>0.7736788327401355</v>
      </c>
      <c r="AS46" s="232">
        <f t="shared" si="24"/>
        <v>0.8301785928212425</v>
      </c>
      <c r="AT46">
        <f t="shared" si="21"/>
        <v>0.7736788327401355</v>
      </c>
      <c r="AU46">
        <f t="shared" si="22"/>
        <v>0.2263211672598645</v>
      </c>
      <c r="AV46">
        <f t="shared" si="23"/>
        <v>-0.2736788327401355</v>
      </c>
      <c r="AW46" s="232">
        <f t="shared" si="17"/>
        <v>0.8301785928212425</v>
      </c>
      <c r="AX46"/>
      <c r="AY46">
        <f t="shared" si="32"/>
        <v>1</v>
      </c>
      <c r="AZ46">
        <f t="shared" si="25"/>
        <v>0.01866025403784439</v>
      </c>
      <c r="BA46">
        <f t="shared" si="26"/>
        <v>-0.03732050807568878</v>
      </c>
      <c r="BB46">
        <f t="shared" si="27"/>
        <v>0</v>
      </c>
      <c r="BC46">
        <f t="shared" si="28"/>
        <v>0</v>
      </c>
      <c r="BD46">
        <f t="shared" si="29"/>
        <v>0</v>
      </c>
      <c r="BE46">
        <f t="shared" si="30"/>
        <v>0</v>
      </c>
      <c r="BF46">
        <f t="shared" si="33"/>
        <v>0</v>
      </c>
      <c r="BG46">
        <f t="shared" si="31"/>
        <v>1</v>
      </c>
      <c r="BH46"/>
    </row>
    <row r="47" spans="1:60" s="1" customFormat="1" ht="13.5" thickBot="1">
      <c r="A47" s="35" t="s">
        <v>135</v>
      </c>
      <c r="B47" s="110">
        <v>120</v>
      </c>
      <c r="C47" s="432"/>
      <c r="D47" s="7">
        <f>IF($C47&gt;0,IF($C47&lt;$B47,"Too low","Satisfactory"),0)</f>
        <v>0</v>
      </c>
      <c r="E47"/>
      <c r="F47" s="58"/>
      <c r="G47"/>
      <c r="H47"/>
      <c r="I47" s="7"/>
      <c r="J47"/>
      <c r="K47"/>
      <c r="L47" s="3"/>
      <c r="M47" s="3"/>
      <c r="N47" s="314">
        <f>IF($C47&gt;0,IF($C47&lt;$B47,0,1),0)</f>
        <v>0</v>
      </c>
      <c r="O47" s="315"/>
      <c r="AD47" s="269"/>
      <c r="AE47" s="26"/>
      <c r="AF47" s="26"/>
      <c r="AG47" s="26"/>
      <c r="AH47" s="26"/>
      <c r="AI47" s="26"/>
      <c r="AJ47" s="26"/>
      <c r="AK47" s="26"/>
      <c r="AL47" s="270"/>
      <c r="AO47">
        <f t="shared" si="18"/>
        <v>252.10142985756227</v>
      </c>
      <c r="AP47">
        <v>4.4</v>
      </c>
      <c r="AQ47">
        <f t="shared" si="19"/>
        <v>0.6689502592361896</v>
      </c>
      <c r="AR47">
        <f t="shared" si="20"/>
        <v>0.7942505586276729</v>
      </c>
      <c r="AS47" s="232">
        <f t="shared" si="24"/>
        <v>0.851733923520355</v>
      </c>
      <c r="AT47">
        <f t="shared" si="21"/>
        <v>0.7942505586276729</v>
      </c>
      <c r="AU47">
        <f t="shared" si="22"/>
        <v>0.2057494413723271</v>
      </c>
      <c r="AV47">
        <f t="shared" si="23"/>
        <v>-0.2942505586276729</v>
      </c>
      <c r="AW47" s="232">
        <f t="shared" si="17"/>
        <v>0.851733923520355</v>
      </c>
      <c r="AX47"/>
      <c r="AY47">
        <f t="shared" si="32"/>
        <v>1</v>
      </c>
      <c r="AZ47">
        <f t="shared" si="25"/>
        <v>0.01866025403784439</v>
      </c>
      <c r="BA47">
        <f t="shared" si="26"/>
        <v>-0.03732050807568878</v>
      </c>
      <c r="BB47">
        <f t="shared" si="27"/>
        <v>0</v>
      </c>
      <c r="BC47">
        <f t="shared" si="28"/>
        <v>0</v>
      </c>
      <c r="BD47">
        <f t="shared" si="29"/>
        <v>0</v>
      </c>
      <c r="BE47">
        <f t="shared" si="30"/>
        <v>0</v>
      </c>
      <c r="BF47">
        <f t="shared" si="33"/>
        <v>0</v>
      </c>
      <c r="BG47">
        <f t="shared" si="31"/>
        <v>1</v>
      </c>
      <c r="BH47"/>
    </row>
    <row r="48" spans="1:60" s="1" customFormat="1" ht="12.75">
      <c r="A48" s="35" t="s">
        <v>136</v>
      </c>
      <c r="B48" s="110">
        <v>25.4</v>
      </c>
      <c r="C48" s="432"/>
      <c r="D48" s="7">
        <f>IF($C48&gt;0,IF($C48&lt;$B48,"Too low","Satisfactory"),0)</f>
        <v>0</v>
      </c>
      <c r="E48"/>
      <c r="F48" s="58"/>
      <c r="G48"/>
      <c r="H48" s="368" t="s">
        <v>56</v>
      </c>
      <c r="I48" s="7"/>
      <c r="J48"/>
      <c r="K48"/>
      <c r="L48" s="3"/>
      <c r="M48" s="3"/>
      <c r="N48" s="314">
        <f>IF($C48&gt;0,IF($C48&lt;$B48,0,1),0)</f>
        <v>0</v>
      </c>
      <c r="O48" s="315"/>
      <c r="AO48">
        <f t="shared" si="18"/>
        <v>257.8310078088705</v>
      </c>
      <c r="AP48">
        <v>4.5</v>
      </c>
      <c r="AQ48">
        <f t="shared" si="19"/>
        <v>0.6846912647081371</v>
      </c>
      <c r="AR48">
        <f t="shared" si="20"/>
        <v>0.8140868113613695</v>
      </c>
      <c r="AS48" s="232">
        <f t="shared" si="24"/>
        <v>0.8717759941611313</v>
      </c>
      <c r="AT48">
        <f t="shared" si="21"/>
        <v>0.8140868113613695</v>
      </c>
      <c r="AU48">
        <f t="shared" si="22"/>
        <v>0.1859131886386305</v>
      </c>
      <c r="AV48">
        <f t="shared" si="23"/>
        <v>-0.3140868113613695</v>
      </c>
      <c r="AW48" s="232">
        <f t="shared" si="17"/>
        <v>0.8717759941611313</v>
      </c>
      <c r="AX48"/>
      <c r="AY48">
        <f t="shared" si="32"/>
        <v>1</v>
      </c>
      <c r="AZ48">
        <f t="shared" si="25"/>
        <v>0.01866025403784439</v>
      </c>
      <c r="BA48">
        <f t="shared" si="26"/>
        <v>-0.03732050807568878</v>
      </c>
      <c r="BB48">
        <f t="shared" si="27"/>
        <v>0</v>
      </c>
      <c r="BC48">
        <f t="shared" si="28"/>
        <v>0</v>
      </c>
      <c r="BD48">
        <f t="shared" si="29"/>
        <v>0</v>
      </c>
      <c r="BE48">
        <f t="shared" si="30"/>
        <v>0</v>
      </c>
      <c r="BF48">
        <f t="shared" si="33"/>
        <v>0</v>
      </c>
      <c r="BG48">
        <f t="shared" si="31"/>
        <v>1</v>
      </c>
      <c r="BH48"/>
    </row>
    <row r="49" spans="1:60" s="1" customFormat="1" ht="12.75">
      <c r="A49" s="35" t="s">
        <v>137</v>
      </c>
      <c r="B49" s="110">
        <v>1.25</v>
      </c>
      <c r="C49" s="176">
        <f>IF(B15&gt;0,B15/B16,)</f>
        <v>0</v>
      </c>
      <c r="D49" s="7">
        <f>IF($C49&gt;0,IF($C49&lt;$B49,"Satisfactory",IF($B15&gt;17,"Risk of Build Up","Satisfactory")),0)</f>
        <v>0</v>
      </c>
      <c r="E49"/>
      <c r="F49" s="58"/>
      <c r="G49"/>
      <c r="H49"/>
      <c r="I49" s="7"/>
      <c r="J49"/>
      <c r="K49"/>
      <c r="L49" s="3"/>
      <c r="M49" s="3"/>
      <c r="N49" s="316">
        <f>IF($C49&gt;0,IF($C49&lt;$B49,1,IF($B15&gt;17,0,1)),0)</f>
        <v>0</v>
      </c>
      <c r="O49" s="317">
        <f>SUM(N42:N49)</f>
        <v>0</v>
      </c>
      <c r="AO49">
        <f t="shared" si="18"/>
        <v>263.56058576017864</v>
      </c>
      <c r="AP49">
        <v>4.6</v>
      </c>
      <c r="AQ49">
        <f t="shared" si="19"/>
        <v>0.699211375454183</v>
      </c>
      <c r="AR49">
        <f t="shared" si="20"/>
        <v>0.833138010639912</v>
      </c>
      <c r="AS49" s="232">
        <f t="shared" si="24"/>
        <v>0.8902635733569308</v>
      </c>
      <c r="AT49">
        <f t="shared" si="21"/>
        <v>0.833138010639912</v>
      </c>
      <c r="AU49">
        <f t="shared" si="22"/>
        <v>0.166861989360088</v>
      </c>
      <c r="AV49">
        <f t="shared" si="23"/>
        <v>-0.333138010639912</v>
      </c>
      <c r="AW49" s="232">
        <f t="shared" si="17"/>
        <v>0.8902635733569308</v>
      </c>
      <c r="AX49"/>
      <c r="AY49">
        <f t="shared" si="32"/>
        <v>1</v>
      </c>
      <c r="AZ49">
        <f t="shared" si="25"/>
        <v>0.01866025403784439</v>
      </c>
      <c r="BA49">
        <f t="shared" si="26"/>
        <v>-0.03732050807568878</v>
      </c>
      <c r="BB49">
        <f t="shared" si="27"/>
        <v>0</v>
      </c>
      <c r="BC49">
        <f t="shared" si="28"/>
        <v>0</v>
      </c>
      <c r="BD49">
        <f t="shared" si="29"/>
        <v>0</v>
      </c>
      <c r="BE49">
        <f t="shared" si="30"/>
        <v>0</v>
      </c>
      <c r="BF49">
        <f t="shared" si="33"/>
        <v>0</v>
      </c>
      <c r="BG49">
        <f t="shared" si="31"/>
        <v>1</v>
      </c>
      <c r="BH49"/>
    </row>
    <row r="50" spans="1:60" s="1" customFormat="1" ht="12.75">
      <c r="A50" s="35"/>
      <c r="B50" s="50"/>
      <c r="C50" s="376"/>
      <c r="D50" s="377"/>
      <c r="E50" s="7"/>
      <c r="F50" s="98"/>
      <c r="G50" s="14"/>
      <c r="H50" s="2"/>
      <c r="K50" s="2"/>
      <c r="L50" s="3"/>
      <c r="M50" s="3"/>
      <c r="N50" s="3"/>
      <c r="AO50">
        <f t="shared" si="18"/>
        <v>269.2901637114869</v>
      </c>
      <c r="AP50">
        <v>4.7</v>
      </c>
      <c r="AQ50">
        <f t="shared" si="19"/>
        <v>0.7124904071955126</v>
      </c>
      <c r="AR50">
        <f t="shared" si="20"/>
        <v>0.8513565383867769</v>
      </c>
      <c r="AS50" s="232">
        <f t="shared" si="24"/>
        <v>0.9071709616857851</v>
      </c>
      <c r="AT50">
        <f t="shared" si="21"/>
        <v>0.8513565383867769</v>
      </c>
      <c r="AU50">
        <f t="shared" si="22"/>
        <v>0.14864346161322306</v>
      </c>
      <c r="AV50">
        <f t="shared" si="23"/>
        <v>-0.35135653838677694</v>
      </c>
      <c r="AW50" s="232">
        <f t="shared" si="17"/>
        <v>0.9071709616857851</v>
      </c>
      <c r="AX50"/>
      <c r="AY50">
        <f t="shared" si="32"/>
        <v>1</v>
      </c>
      <c r="AZ50">
        <f t="shared" si="25"/>
        <v>0.01866025403784439</v>
      </c>
      <c r="BA50">
        <f t="shared" si="26"/>
        <v>-0.03732050807568878</v>
      </c>
      <c r="BB50">
        <f t="shared" si="27"/>
        <v>0</v>
      </c>
      <c r="BC50">
        <f t="shared" si="28"/>
        <v>0</v>
      </c>
      <c r="BD50">
        <f t="shared" si="29"/>
        <v>0</v>
      </c>
      <c r="BE50">
        <f t="shared" si="30"/>
        <v>0</v>
      </c>
      <c r="BF50">
        <f t="shared" si="33"/>
        <v>0</v>
      </c>
      <c r="BG50">
        <f t="shared" si="31"/>
        <v>1</v>
      </c>
      <c r="BH50"/>
    </row>
    <row r="51" spans="1:60" s="1" customFormat="1" ht="13.5" thickBot="1">
      <c r="A51" s="45"/>
      <c r="B51" s="378" t="str">
        <f>IF(O49&lt;5,"Fully Autogenous not recommended"," Fully Autogenous could be considered")</f>
        <v>Fully Autogenous not recommended</v>
      </c>
      <c r="C51" s="379"/>
      <c r="D51" s="61"/>
      <c r="E51" s="99"/>
      <c r="F51" s="100"/>
      <c r="G51" s="14"/>
      <c r="H51" s="2"/>
      <c r="K51" s="2"/>
      <c r="L51" s="3"/>
      <c r="M51" s="3"/>
      <c r="N51" s="3"/>
      <c r="AO51">
        <f t="shared" si="18"/>
        <v>275.0197416627951</v>
      </c>
      <c r="AP51">
        <v>4.8</v>
      </c>
      <c r="AQ51">
        <f t="shared" si="19"/>
        <v>0.7245205761044801</v>
      </c>
      <c r="AR51">
        <f t="shared" si="20"/>
        <v>0.8686968577706227</v>
      </c>
      <c r="AS51" s="232">
        <f t="shared" si="24"/>
        <v>0.922488248470526</v>
      </c>
      <c r="AT51">
        <f t="shared" si="21"/>
        <v>0.8686968577706227</v>
      </c>
      <c r="AU51">
        <f t="shared" si="22"/>
        <v>0.13130314222937733</v>
      </c>
      <c r="AV51">
        <f t="shared" si="23"/>
        <v>-0.36869685777062267</v>
      </c>
      <c r="AW51" s="232">
        <f t="shared" si="17"/>
        <v>0.922488248470526</v>
      </c>
      <c r="AX51"/>
      <c r="AY51">
        <f t="shared" si="32"/>
        <v>1</v>
      </c>
      <c r="AZ51">
        <f t="shared" si="25"/>
        <v>0.01866025403784439</v>
      </c>
      <c r="BA51">
        <f t="shared" si="26"/>
        <v>-0.03732050807568878</v>
      </c>
      <c r="BB51">
        <f t="shared" si="27"/>
        <v>0</v>
      </c>
      <c r="BC51">
        <f t="shared" si="28"/>
        <v>0</v>
      </c>
      <c r="BD51">
        <f t="shared" si="29"/>
        <v>0</v>
      </c>
      <c r="BE51">
        <f t="shared" si="30"/>
        <v>0</v>
      </c>
      <c r="BF51">
        <f t="shared" si="33"/>
        <v>0</v>
      </c>
      <c r="BG51">
        <f t="shared" si="31"/>
        <v>1</v>
      </c>
      <c r="BH51"/>
    </row>
    <row r="52" spans="5:60" s="7" customFormat="1" ht="13.5" thickTop="1">
      <c r="E52" s="24"/>
      <c r="F52" s="92"/>
      <c r="G52" s="14"/>
      <c r="H52" s="13"/>
      <c r="K52" s="13"/>
      <c r="L52" s="6"/>
      <c r="M52" s="6"/>
      <c r="N52" s="6"/>
      <c r="AO52">
        <f t="shared" si="18"/>
        <v>280.7493196141034</v>
      </c>
      <c r="AP52">
        <v>4.9</v>
      </c>
      <c r="AQ52">
        <f t="shared" si="19"/>
        <v>0.7353065765780415</v>
      </c>
      <c r="AR52">
        <f t="shared" si="20"/>
        <v>0.8851156270236538</v>
      </c>
      <c r="AS52" s="232">
        <f t="shared" si="24"/>
        <v>0.9362214108029967</v>
      </c>
      <c r="AT52">
        <f t="shared" si="21"/>
        <v>0.8851156270236538</v>
      </c>
      <c r="AU52">
        <f t="shared" si="22"/>
        <v>0.11488437297634624</v>
      </c>
      <c r="AV52">
        <f t="shared" si="23"/>
        <v>-0.38511562702365376</v>
      </c>
      <c r="AW52" s="232">
        <f t="shared" si="17"/>
        <v>0.9362214108029967</v>
      </c>
      <c r="AX52"/>
      <c r="AY52">
        <f t="shared" si="32"/>
        <v>1</v>
      </c>
      <c r="AZ52">
        <f t="shared" si="25"/>
        <v>0.01866025403784439</v>
      </c>
      <c r="BA52">
        <f t="shared" si="26"/>
        <v>-0.03732050807568878</v>
      </c>
      <c r="BB52">
        <f t="shared" si="27"/>
        <v>0</v>
      </c>
      <c r="BC52">
        <f t="shared" si="28"/>
        <v>0</v>
      </c>
      <c r="BD52">
        <f t="shared" si="29"/>
        <v>0</v>
      </c>
      <c r="BE52">
        <f t="shared" si="30"/>
        <v>0</v>
      </c>
      <c r="BF52">
        <f t="shared" si="33"/>
        <v>0</v>
      </c>
      <c r="BG52">
        <f t="shared" si="31"/>
        <v>1</v>
      </c>
      <c r="BH52"/>
    </row>
    <row r="53" spans="5:60" s="7" customFormat="1" ht="12.75">
      <c r="E53" s="24"/>
      <c r="F53" s="92"/>
      <c r="G53" s="14"/>
      <c r="H53" s="13"/>
      <c r="K53" s="13"/>
      <c r="L53" s="6"/>
      <c r="M53" s="6"/>
      <c r="N53" s="6"/>
      <c r="AO53">
        <f t="shared" si="18"/>
        <v>286.4788975654116</v>
      </c>
      <c r="AP53">
        <v>5</v>
      </c>
      <c r="AQ53">
        <f t="shared" si="19"/>
        <v>0.7448655343328923</v>
      </c>
      <c r="AR53">
        <f t="shared" si="20"/>
        <v>0.9005718077734668</v>
      </c>
      <c r="AS53" s="232">
        <f t="shared" si="24"/>
        <v>0.9483922538229255</v>
      </c>
      <c r="AT53">
        <f t="shared" si="21"/>
        <v>0.9005718077734668</v>
      </c>
      <c r="AU53">
        <f t="shared" si="22"/>
        <v>0.09942819222653321</v>
      </c>
      <c r="AV53">
        <f t="shared" si="23"/>
        <v>-0.4005718077734668</v>
      </c>
      <c r="AW53" s="232">
        <f t="shared" si="17"/>
        <v>0.9483922538229255</v>
      </c>
      <c r="AX53"/>
      <c r="AY53">
        <f t="shared" si="32"/>
        <v>1</v>
      </c>
      <c r="AZ53">
        <f t="shared" si="25"/>
        <v>0.01866025403784439</v>
      </c>
      <c r="BA53">
        <f t="shared" si="26"/>
        <v>-0.03732050807568878</v>
      </c>
      <c r="BB53">
        <f t="shared" si="27"/>
        <v>0</v>
      </c>
      <c r="BC53">
        <f t="shared" si="28"/>
        <v>0</v>
      </c>
      <c r="BD53">
        <f t="shared" si="29"/>
        <v>0</v>
      </c>
      <c r="BE53">
        <f t="shared" si="30"/>
        <v>0</v>
      </c>
      <c r="BF53">
        <f t="shared" si="33"/>
        <v>0</v>
      </c>
      <c r="BG53">
        <f t="shared" si="31"/>
        <v>1</v>
      </c>
      <c r="BH53"/>
    </row>
    <row r="54" spans="5:60" s="7" customFormat="1" ht="12.75">
      <c r="E54" s="24"/>
      <c r="F54" s="92"/>
      <c r="G54" s="14"/>
      <c r="H54" s="13"/>
      <c r="K54" s="13"/>
      <c r="L54" s="6"/>
      <c r="M54" s="6"/>
      <c r="N54"/>
      <c r="AO54">
        <f t="shared" si="18"/>
        <v>292.20847551671983</v>
      </c>
      <c r="AP54">
        <v>5.1</v>
      </c>
      <c r="AQ54">
        <f t="shared" si="19"/>
        <v>0.7532268352909666</v>
      </c>
      <c r="AR54">
        <f t="shared" si="20"/>
        <v>0.915026767617611</v>
      </c>
      <c r="AS54" s="232">
        <f t="shared" si="24"/>
        <v>0.9590381928481777</v>
      </c>
      <c r="AT54">
        <f t="shared" si="21"/>
        <v>0.915026767617611</v>
      </c>
      <c r="AU54">
        <f t="shared" si="22"/>
        <v>0.08497323238238896</v>
      </c>
      <c r="AV54">
        <f t="shared" si="23"/>
        <v>-0.41502676761761104</v>
      </c>
      <c r="AW54" s="232">
        <f t="shared" si="17"/>
        <v>0.9590381928481777</v>
      </c>
      <c r="AX54"/>
      <c r="AY54">
        <f t="shared" si="32"/>
        <v>1</v>
      </c>
      <c r="AZ54">
        <f t="shared" si="25"/>
        <v>0.01866025403784439</v>
      </c>
      <c r="BA54">
        <f t="shared" si="26"/>
        <v>-0.03732050807568878</v>
      </c>
      <c r="BB54">
        <f t="shared" si="27"/>
        <v>0</v>
      </c>
      <c r="BC54">
        <f t="shared" si="28"/>
        <v>0</v>
      </c>
      <c r="BD54">
        <f t="shared" si="29"/>
        <v>0</v>
      </c>
      <c r="BE54">
        <f t="shared" si="30"/>
        <v>0</v>
      </c>
      <c r="BF54">
        <f t="shared" si="33"/>
        <v>0</v>
      </c>
      <c r="BG54">
        <f t="shared" si="31"/>
        <v>1</v>
      </c>
      <c r="BH54"/>
    </row>
    <row r="55" spans="1:60" s="5" customFormat="1" ht="5.25" customHeight="1" thickBot="1">
      <c r="A55" s="31"/>
      <c r="B55" s="31"/>
      <c r="C55" s="31"/>
      <c r="D55" s="31"/>
      <c r="E55" s="32"/>
      <c r="F55" s="33"/>
      <c r="G55" s="11"/>
      <c r="H55" s="19"/>
      <c r="K55" s="13"/>
      <c r="L55" s="6"/>
      <c r="M55" s="6"/>
      <c r="N55" s="6"/>
      <c r="AO55">
        <f t="shared" si="18"/>
        <v>297.9380534680281</v>
      </c>
      <c r="AP55">
        <v>5.2</v>
      </c>
      <c r="AQ55">
        <f t="shared" si="19"/>
        <v>0.7604318319650192</v>
      </c>
      <c r="AR55">
        <f t="shared" si="20"/>
        <v>0.9284443766844737</v>
      </c>
      <c r="AS55" s="232">
        <f t="shared" si="24"/>
        <v>0.9682118795332668</v>
      </c>
      <c r="AT55">
        <f t="shared" si="21"/>
        <v>0.9284443766844737</v>
      </c>
      <c r="AU55">
        <f t="shared" si="22"/>
        <v>0.07155562331552634</v>
      </c>
      <c r="AV55">
        <f t="shared" si="23"/>
        <v>-0.42844437668447366</v>
      </c>
      <c r="AW55" s="232">
        <f t="shared" si="17"/>
        <v>0.9682118795332668</v>
      </c>
      <c r="AX55"/>
      <c r="AY55">
        <f t="shared" si="32"/>
        <v>1</v>
      </c>
      <c r="AZ55">
        <f t="shared" si="25"/>
        <v>0.01866025403784439</v>
      </c>
      <c r="BA55">
        <f t="shared" si="26"/>
        <v>-0.03732050807568878</v>
      </c>
      <c r="BB55">
        <f t="shared" si="27"/>
        <v>0</v>
      </c>
      <c r="BC55">
        <f t="shared" si="28"/>
        <v>0</v>
      </c>
      <c r="BD55">
        <f t="shared" si="29"/>
        <v>0</v>
      </c>
      <c r="BE55">
        <f t="shared" si="30"/>
        <v>0</v>
      </c>
      <c r="BF55">
        <f t="shared" si="33"/>
        <v>0</v>
      </c>
      <c r="BG55">
        <f t="shared" si="31"/>
        <v>1</v>
      </c>
      <c r="BH55"/>
    </row>
    <row r="56" spans="1:59" ht="21.75" thickBot="1" thickTop="1">
      <c r="A56" s="55" t="s">
        <v>138</v>
      </c>
      <c r="B56" s="56"/>
      <c r="C56" s="56"/>
      <c r="D56" s="57"/>
      <c r="E56" s="57"/>
      <c r="F56" s="423" t="s">
        <v>139</v>
      </c>
      <c r="G56" s="243" t="s">
        <v>140</v>
      </c>
      <c r="H56" s="242">
        <f>C5</f>
        <v>0</v>
      </c>
      <c r="R56" s="2">
        <v>5.6116</v>
      </c>
      <c r="S56" s="228">
        <v>2.461</v>
      </c>
      <c r="T56" s="3"/>
      <c r="U56" s="3"/>
      <c r="V56" s="330" t="s">
        <v>141</v>
      </c>
      <c r="W56" s="331"/>
      <c r="X56" s="332"/>
      <c r="AO56">
        <f t="shared" si="18"/>
        <v>303.6676314193363</v>
      </c>
      <c r="AP56">
        <v>5.3</v>
      </c>
      <c r="AQ56">
        <f t="shared" si="19"/>
        <v>0.7665334302779876</v>
      </c>
      <c r="AR56">
        <f t="shared" si="20"/>
        <v>0.940791097939143</v>
      </c>
      <c r="AS56" s="232">
        <f t="shared" si="24"/>
        <v>0.9759806757914276</v>
      </c>
      <c r="AT56">
        <f t="shared" si="21"/>
        <v>0.940791097939143</v>
      </c>
      <c r="AU56">
        <f t="shared" si="22"/>
        <v>0.05920890206085705</v>
      </c>
      <c r="AV56">
        <f t="shared" si="23"/>
        <v>-0.44079109793914295</v>
      </c>
      <c r="AW56" s="232">
        <f t="shared" si="17"/>
        <v>0.9759806757914276</v>
      </c>
      <c r="AY56">
        <f t="shared" si="32"/>
        <v>1</v>
      </c>
      <c r="AZ56">
        <f t="shared" si="25"/>
        <v>0.01866025403784439</v>
      </c>
      <c r="BA56">
        <f t="shared" si="26"/>
        <v>-0.03732050807568878</v>
      </c>
      <c r="BB56">
        <f t="shared" si="27"/>
        <v>0</v>
      </c>
      <c r="BC56">
        <f t="shared" si="28"/>
        <v>0</v>
      </c>
      <c r="BD56">
        <f t="shared" si="29"/>
        <v>0</v>
      </c>
      <c r="BE56">
        <f t="shared" si="30"/>
        <v>0</v>
      </c>
      <c r="BF56">
        <f t="shared" si="33"/>
        <v>0</v>
      </c>
      <c r="BG56">
        <f t="shared" si="31"/>
        <v>1</v>
      </c>
    </row>
    <row r="57" spans="1:59" ht="38.25">
      <c r="A57" s="34"/>
      <c r="B57" s="5"/>
      <c r="C57" s="130" t="s">
        <v>142</v>
      </c>
      <c r="D57" s="127"/>
      <c r="E57" s="127" t="s">
        <v>143</v>
      </c>
      <c r="F57" s="128">
        <f>F36</f>
        <v>0</v>
      </c>
      <c r="G57" s="79" t="s">
        <v>144</v>
      </c>
      <c r="H57" s="80" t="s">
        <v>145</v>
      </c>
      <c r="I57" s="81" t="s">
        <v>146</v>
      </c>
      <c r="Q57" s="305" t="s">
        <v>6</v>
      </c>
      <c r="R57" s="326" t="s">
        <v>147</v>
      </c>
      <c r="S57" s="327" t="s">
        <v>148</v>
      </c>
      <c r="T57" s="328"/>
      <c r="U57" s="328" t="s">
        <v>149</v>
      </c>
      <c r="V57" s="254"/>
      <c r="W57" s="254" t="s">
        <v>150</v>
      </c>
      <c r="X57" s="254">
        <v>0</v>
      </c>
      <c r="Y57" s="254">
        <v>0.4</v>
      </c>
      <c r="Z57" s="254">
        <v>0.6</v>
      </c>
      <c r="AA57" s="254">
        <v>0.8</v>
      </c>
      <c r="AB57" s="255">
        <v>1</v>
      </c>
      <c r="AO57">
        <f t="shared" si="18"/>
        <v>309.3972093706446</v>
      </c>
      <c r="AP57">
        <v>5.4</v>
      </c>
      <c r="AQ57">
        <f t="shared" si="19"/>
        <v>0.7715955609444984</v>
      </c>
      <c r="AR57">
        <f t="shared" si="20"/>
        <v>0.9520360710085306</v>
      </c>
      <c r="AS57" s="232">
        <f t="shared" si="24"/>
        <v>0.9824259807366457</v>
      </c>
      <c r="AT57">
        <f t="shared" si="21"/>
        <v>0.9520360710085306</v>
      </c>
      <c r="AU57">
        <f t="shared" si="22"/>
        <v>0.047963928991469396</v>
      </c>
      <c r="AV57">
        <f t="shared" si="23"/>
        <v>-0.4520360710085306</v>
      </c>
      <c r="AW57" s="232">
        <f t="shared" si="17"/>
        <v>0.9824259807366457</v>
      </c>
      <c r="AY57">
        <f t="shared" si="32"/>
        <v>1</v>
      </c>
      <c r="AZ57">
        <f t="shared" si="25"/>
        <v>0.01866025403784439</v>
      </c>
      <c r="BA57">
        <f t="shared" si="26"/>
        <v>-0.03732050807568878</v>
      </c>
      <c r="BB57">
        <f t="shared" si="27"/>
        <v>0</v>
      </c>
      <c r="BC57">
        <f t="shared" si="28"/>
        <v>0</v>
      </c>
      <c r="BD57">
        <f t="shared" si="29"/>
        <v>0</v>
      </c>
      <c r="BE57">
        <f t="shared" si="30"/>
        <v>0</v>
      </c>
      <c r="BF57">
        <f t="shared" si="33"/>
        <v>0</v>
      </c>
      <c r="BG57">
        <f t="shared" si="31"/>
        <v>1</v>
      </c>
    </row>
    <row r="58" spans="1:59" ht="12.75">
      <c r="A58" s="440" t="s">
        <v>151</v>
      </c>
      <c r="B58" s="431"/>
      <c r="C58" s="445">
        <f>B58*3.2808</f>
        <v>0</v>
      </c>
      <c r="D58" s="134"/>
      <c r="E58" s="134"/>
      <c r="F58" s="131"/>
      <c r="G58" s="333">
        <v>0.35</v>
      </c>
      <c r="H58" s="87">
        <f>IF(C5&gt;0,ROUNDDOWN(((($F$36/$H$56)/($G$58*$R$56+$G$58*($B$67*100)*0.1438))^(1/($S$56+1)))*2,0)/2,)</f>
        <v>0</v>
      </c>
      <c r="I58" s="88">
        <f>IF(C5&gt;0,I59+0.5,)</f>
        <v>0</v>
      </c>
      <c r="Q58" s="307">
        <v>1</v>
      </c>
      <c r="R58" s="375" t="e">
        <f aca="true" t="shared" si="34" ref="R58:R69">($F$57/$H$56)/($R$56*Q58^$S$56)/$C$5</f>
        <v>#DIV/0!</v>
      </c>
      <c r="S58" s="375" t="e">
        <f aca="true" t="shared" si="35" ref="S58:S69">($F$57/$H$56)/($R$56*Q58^$S$56+12*0.1438*Q58^2.4811)/$C$5</f>
        <v>#DIV/0!</v>
      </c>
      <c r="T58" s="6">
        <f>B58</f>
        <v>0</v>
      </c>
      <c r="U58" s="6">
        <f>B59</f>
        <v>0</v>
      </c>
      <c r="V58" s="5">
        <v>5.48</v>
      </c>
      <c r="W58" s="5">
        <v>2.13</v>
      </c>
      <c r="X58" s="5">
        <f aca="true" t="shared" si="36" ref="X58:X69">Q58</f>
        <v>1</v>
      </c>
      <c r="Y58" s="5">
        <f>$Q58*Y$57</f>
        <v>0.4</v>
      </c>
      <c r="Z58" s="5">
        <f>$Q58*Z$57</f>
        <v>0.6</v>
      </c>
      <c r="AA58" s="5">
        <f>$Q58*AA$57</f>
        <v>0.8</v>
      </c>
      <c r="AB58" s="249">
        <f>$Q58*AB$57</f>
        <v>1</v>
      </c>
      <c r="AO58">
        <f t="shared" si="18"/>
        <v>315.1267873219528</v>
      </c>
      <c r="AP58">
        <v>5.5</v>
      </c>
      <c r="AQ58">
        <f t="shared" si="19"/>
        <v>0.775692540696299</v>
      </c>
      <c r="AR58">
        <f t="shared" si="20"/>
        <v>0.9621511893162318</v>
      </c>
      <c r="AS58" s="232">
        <f t="shared" si="24"/>
        <v>0.9876424173706174</v>
      </c>
      <c r="AT58">
        <f t="shared" si="21"/>
        <v>0.9621511893162318</v>
      </c>
      <c r="AU58">
        <f t="shared" si="22"/>
        <v>0.03784881068376822</v>
      </c>
      <c r="AV58">
        <f t="shared" si="23"/>
        <v>-0.4621511893162318</v>
      </c>
      <c r="AW58" s="232">
        <f t="shared" si="17"/>
        <v>0.9876424173706174</v>
      </c>
      <c r="AY58">
        <f t="shared" si="32"/>
        <v>1</v>
      </c>
      <c r="AZ58">
        <f t="shared" si="25"/>
        <v>0.01866025403784439</v>
      </c>
      <c r="BA58">
        <f t="shared" si="26"/>
        <v>-0.03732050807568878</v>
      </c>
      <c r="BB58">
        <f t="shared" si="27"/>
        <v>0</v>
      </c>
      <c r="BC58">
        <f t="shared" si="28"/>
        <v>0</v>
      </c>
      <c r="BD58">
        <f t="shared" si="29"/>
        <v>0</v>
      </c>
      <c r="BE58">
        <f t="shared" si="30"/>
        <v>0</v>
      </c>
      <c r="BF58">
        <f t="shared" si="33"/>
        <v>0</v>
      </c>
      <c r="BG58">
        <f t="shared" si="31"/>
        <v>1</v>
      </c>
    </row>
    <row r="59" spans="1:59" ht="13.5" thickBot="1">
      <c r="A59" s="440" t="s">
        <v>152</v>
      </c>
      <c r="B59" s="431"/>
      <c r="C59" s="445">
        <f>B59*3.2808</f>
        <v>0</v>
      </c>
      <c r="D59" s="134"/>
      <c r="E59" s="48" t="s">
        <v>153</v>
      </c>
      <c r="F59" s="324">
        <f>IF(B59&gt;0,B59+3*F62*TAN(B69*PI()/180)/4,)</f>
        <v>0</v>
      </c>
      <c r="G59" s="372"/>
      <c r="H59" s="334">
        <f>IF(C5&gt;0,ROUNDUP(((($F$36/$H$56)/($G$58*$R$56+$G$58*($B$67*100)*0.1438))^(1/($S$56+1)))*2,0)/2,)</f>
        <v>0</v>
      </c>
      <c r="I59" s="89">
        <f>ROUNDUP($H$59*$G$58*2,0)/2</f>
        <v>0</v>
      </c>
      <c r="Q59" s="307">
        <v>2</v>
      </c>
      <c r="R59" s="375" t="e">
        <f t="shared" si="34"/>
        <v>#DIV/0!</v>
      </c>
      <c r="S59" s="375" t="e">
        <f t="shared" si="35"/>
        <v>#DIV/0!</v>
      </c>
      <c r="T59" s="6"/>
      <c r="U59" s="6"/>
      <c r="V59" s="5">
        <v>6.4</v>
      </c>
      <c r="W59" s="5">
        <v>2.43</v>
      </c>
      <c r="X59" s="5">
        <f t="shared" si="36"/>
        <v>2</v>
      </c>
      <c r="Y59" s="5">
        <f aca="true" t="shared" si="37" ref="Y59:Y69">Q59*Y$57</f>
        <v>0.8</v>
      </c>
      <c r="Z59" s="5">
        <f aca="true" t="shared" si="38" ref="Z59:AB69">$Q59*Z$57</f>
        <v>1.2</v>
      </c>
      <c r="AA59" s="5">
        <f t="shared" si="38"/>
        <v>1.6</v>
      </c>
      <c r="AB59" s="249">
        <f t="shared" si="38"/>
        <v>2</v>
      </c>
      <c r="AO59">
        <f t="shared" si="18"/>
        <v>320.85636527326096</v>
      </c>
      <c r="AP59">
        <v>5.6</v>
      </c>
      <c r="AQ59">
        <f t="shared" si="19"/>
        <v>0.7789083297340401</v>
      </c>
      <c r="AR59">
        <f t="shared" si="20"/>
        <v>0.971111170334329</v>
      </c>
      <c r="AS59" s="232">
        <f t="shared" si="24"/>
        <v>0.9917368871409953</v>
      </c>
      <c r="AT59">
        <f t="shared" si="21"/>
        <v>0.971111170334329</v>
      </c>
      <c r="AU59">
        <f t="shared" si="22"/>
        <v>0.028888829665670968</v>
      </c>
      <c r="AV59">
        <f t="shared" si="23"/>
        <v>-0.47111117033432903</v>
      </c>
      <c r="AW59" s="232">
        <f t="shared" si="17"/>
        <v>0.9917368871409953</v>
      </c>
      <c r="AY59">
        <f t="shared" si="32"/>
        <v>1</v>
      </c>
      <c r="AZ59">
        <f t="shared" si="25"/>
        <v>0.01866025403784439</v>
      </c>
      <c r="BA59">
        <f t="shared" si="26"/>
        <v>-0.03732050807568878</v>
      </c>
      <c r="BB59">
        <f t="shared" si="27"/>
        <v>0</v>
      </c>
      <c r="BC59">
        <f t="shared" si="28"/>
        <v>0</v>
      </c>
      <c r="BD59">
        <f t="shared" si="29"/>
        <v>0</v>
      </c>
      <c r="BE59">
        <f t="shared" si="30"/>
        <v>0</v>
      </c>
      <c r="BF59">
        <f t="shared" si="33"/>
        <v>0</v>
      </c>
      <c r="BG59">
        <f t="shared" si="31"/>
        <v>1</v>
      </c>
    </row>
    <row r="60" spans="1:59" ht="13.5" thickBot="1">
      <c r="A60" s="441"/>
      <c r="B60" s="125"/>
      <c r="D60" s="134"/>
      <c r="E60" s="127" t="s">
        <v>154</v>
      </c>
      <c r="F60" s="132">
        <f>IF(B58&gt;0,B59/B58,)</f>
        <v>0</v>
      </c>
      <c r="G60" s="269" t="s">
        <v>155</v>
      </c>
      <c r="H60" s="370"/>
      <c r="I60" s="371"/>
      <c r="N60" s="205" t="s">
        <v>156</v>
      </c>
      <c r="O60" s="82"/>
      <c r="Q60" s="307">
        <v>3</v>
      </c>
      <c r="R60" s="375" t="e">
        <f t="shared" si="34"/>
        <v>#DIV/0!</v>
      </c>
      <c r="S60" s="375" t="e">
        <f t="shared" si="35"/>
        <v>#DIV/0!</v>
      </c>
      <c r="T60" s="6"/>
      <c r="U60" s="6"/>
      <c r="V60" s="5">
        <v>7.31</v>
      </c>
      <c r="W60" s="5">
        <v>2.43</v>
      </c>
      <c r="X60" s="5">
        <f t="shared" si="36"/>
        <v>3</v>
      </c>
      <c r="Y60" s="5">
        <f t="shared" si="37"/>
        <v>1.2000000000000002</v>
      </c>
      <c r="Z60" s="5">
        <f t="shared" si="38"/>
        <v>1.7999999999999998</v>
      </c>
      <c r="AA60" s="5">
        <f t="shared" si="38"/>
        <v>2.4000000000000004</v>
      </c>
      <c r="AB60" s="249">
        <f t="shared" si="38"/>
        <v>3</v>
      </c>
      <c r="AO60">
        <f t="shared" si="18"/>
        <v>326.58594322456923</v>
      </c>
      <c r="AP60">
        <v>5.7</v>
      </c>
      <c r="AQ60">
        <f t="shared" si="19"/>
        <v>0.7813356928247047</v>
      </c>
      <c r="AR60">
        <f t="shared" si="20"/>
        <v>0.9788936187765451</v>
      </c>
      <c r="AS60" s="232">
        <f t="shared" si="24"/>
        <v>0.99482750181746</v>
      </c>
      <c r="AT60">
        <f t="shared" si="21"/>
        <v>0.9788936187765451</v>
      </c>
      <c r="AU60">
        <f t="shared" si="22"/>
        <v>0.021106381223454873</v>
      </c>
      <c r="AV60">
        <f t="shared" si="23"/>
        <v>-0.4788936187765451</v>
      </c>
      <c r="AW60" s="232">
        <f t="shared" si="17"/>
        <v>0.99482750181746</v>
      </c>
      <c r="AY60">
        <f t="shared" si="32"/>
        <v>1</v>
      </c>
      <c r="AZ60">
        <f t="shared" si="25"/>
        <v>0.01866025403784439</v>
      </c>
      <c r="BA60">
        <f t="shared" si="26"/>
        <v>-0.03732050807568878</v>
      </c>
      <c r="BB60">
        <f t="shared" si="27"/>
        <v>0</v>
      </c>
      <c r="BC60">
        <f t="shared" si="28"/>
        <v>0</v>
      </c>
      <c r="BD60">
        <f t="shared" si="29"/>
        <v>0</v>
      </c>
      <c r="BE60">
        <f t="shared" si="30"/>
        <v>0</v>
      </c>
      <c r="BF60">
        <f t="shared" si="33"/>
        <v>0</v>
      </c>
      <c r="BG60">
        <f t="shared" si="31"/>
        <v>1</v>
      </c>
    </row>
    <row r="61" spans="1:59" ht="12.75">
      <c r="A61" s="441"/>
      <c r="B61" s="125"/>
      <c r="D61" s="134"/>
      <c r="E61" s="134"/>
      <c r="F61" s="133"/>
      <c r="N61" s="83" t="s">
        <v>157</v>
      </c>
      <c r="O61" s="84" t="s">
        <v>158</v>
      </c>
      <c r="Q61" s="307">
        <v>4</v>
      </c>
      <c r="R61" s="375" t="e">
        <f t="shared" si="34"/>
        <v>#DIV/0!</v>
      </c>
      <c r="S61" s="375" t="e">
        <f t="shared" si="35"/>
        <v>#DIV/0!</v>
      </c>
      <c r="T61" s="6"/>
      <c r="U61" s="6"/>
      <c r="V61" s="5">
        <v>7.31</v>
      </c>
      <c r="W61" s="5">
        <v>3.05</v>
      </c>
      <c r="X61" s="5">
        <f t="shared" si="36"/>
        <v>4</v>
      </c>
      <c r="Y61" s="5">
        <f t="shared" si="37"/>
        <v>1.6</v>
      </c>
      <c r="Z61" s="5">
        <f t="shared" si="38"/>
        <v>2.4</v>
      </c>
      <c r="AA61" s="5">
        <f t="shared" si="38"/>
        <v>3.2</v>
      </c>
      <c r="AB61" s="249">
        <f t="shared" si="38"/>
        <v>4</v>
      </c>
      <c r="AO61">
        <f t="shared" si="18"/>
        <v>332.31552117587745</v>
      </c>
      <c r="AP61">
        <v>5.8</v>
      </c>
      <c r="AQ61">
        <f t="shared" si="19"/>
        <v>0.7830752724267196</v>
      </c>
      <c r="AR61">
        <f t="shared" si="20"/>
        <v>0.9854790825747952</v>
      </c>
      <c r="AS61" s="232">
        <f t="shared" si="24"/>
        <v>0.99704240335796</v>
      </c>
      <c r="AT61">
        <f t="shared" si="21"/>
        <v>0.9854790825747952</v>
      </c>
      <c r="AU61">
        <f t="shared" si="22"/>
        <v>0.014520917425204782</v>
      </c>
      <c r="AV61">
        <f t="shared" si="23"/>
        <v>-0.4854790825747952</v>
      </c>
      <c r="AW61" s="232">
        <f t="shared" si="17"/>
        <v>0.99704240335796</v>
      </c>
      <c r="AY61">
        <f t="shared" si="32"/>
        <v>1</v>
      </c>
      <c r="AZ61">
        <f t="shared" si="25"/>
        <v>0.01866025403784439</v>
      </c>
      <c r="BA61">
        <f t="shared" si="26"/>
        <v>-0.03732050807568878</v>
      </c>
      <c r="BB61">
        <f t="shared" si="27"/>
        <v>0</v>
      </c>
      <c r="BC61">
        <f t="shared" si="28"/>
        <v>0</v>
      </c>
      <c r="BD61">
        <f t="shared" si="29"/>
        <v>0</v>
      </c>
      <c r="BE61">
        <f t="shared" si="30"/>
        <v>0</v>
      </c>
      <c r="BF61">
        <f t="shared" si="33"/>
        <v>0</v>
      </c>
      <c r="BG61">
        <f t="shared" si="31"/>
        <v>1</v>
      </c>
    </row>
    <row r="62" spans="1:59" ht="12.75">
      <c r="A62" s="35" t="s">
        <v>159</v>
      </c>
      <c r="B62" s="437">
        <v>0.1</v>
      </c>
      <c r="C62" s="129"/>
      <c r="D62" s="134"/>
      <c r="E62" s="134" t="s">
        <v>160</v>
      </c>
      <c r="F62" s="135">
        <f>IF(B58&gt;0,B58-2*B62,)</f>
        <v>0</v>
      </c>
      <c r="G62" s="110" t="s">
        <v>161</v>
      </c>
      <c r="H62" s="4"/>
      <c r="N62" s="83">
        <v>5</v>
      </c>
      <c r="O62" s="84">
        <v>0.46</v>
      </c>
      <c r="Q62" s="307">
        <v>5</v>
      </c>
      <c r="R62" s="375" t="e">
        <f t="shared" si="34"/>
        <v>#DIV/0!</v>
      </c>
      <c r="S62" s="375" t="e">
        <f t="shared" si="35"/>
        <v>#DIV/0!</v>
      </c>
      <c r="T62" s="6"/>
      <c r="U62" s="6"/>
      <c r="V62" s="5">
        <v>8.22</v>
      </c>
      <c r="W62" s="5">
        <v>4.41</v>
      </c>
      <c r="X62" s="5">
        <f t="shared" si="36"/>
        <v>5</v>
      </c>
      <c r="Y62" s="5">
        <f t="shared" si="37"/>
        <v>2</v>
      </c>
      <c r="Z62" s="5">
        <f t="shared" si="38"/>
        <v>3</v>
      </c>
      <c r="AA62" s="5">
        <f t="shared" si="38"/>
        <v>4</v>
      </c>
      <c r="AB62" s="249">
        <f t="shared" si="38"/>
        <v>5</v>
      </c>
      <c r="AO62">
        <f t="shared" si="18"/>
        <v>338.0450991271857</v>
      </c>
      <c r="AP62">
        <v>5.9</v>
      </c>
      <c r="AQ62">
        <f t="shared" si="19"/>
        <v>0.7842345831037796</v>
      </c>
      <c r="AR62">
        <f t="shared" si="20"/>
        <v>0.9908511014992271</v>
      </c>
      <c r="AS62" s="232">
        <f t="shared" si="24"/>
        <v>0.9985184835566264</v>
      </c>
      <c r="AT62">
        <f t="shared" si="21"/>
        <v>0.9908511014992271</v>
      </c>
      <c r="AU62">
        <f t="shared" si="22"/>
        <v>0.00914889850077294</v>
      </c>
      <c r="AV62">
        <f t="shared" si="23"/>
        <v>-0.49085110149922706</v>
      </c>
      <c r="AW62" s="232">
        <f t="shared" si="17"/>
        <v>0.9985184835566264</v>
      </c>
      <c r="AY62">
        <f t="shared" si="32"/>
        <v>1</v>
      </c>
      <c r="AZ62">
        <f t="shared" si="25"/>
        <v>0.01866025403784439</v>
      </c>
      <c r="BA62">
        <f t="shared" si="26"/>
        <v>-0.03732050807568878</v>
      </c>
      <c r="BB62">
        <f t="shared" si="27"/>
        <v>0</v>
      </c>
      <c r="BC62">
        <f t="shared" si="28"/>
        <v>0</v>
      </c>
      <c r="BD62">
        <f t="shared" si="29"/>
        <v>0</v>
      </c>
      <c r="BE62">
        <f t="shared" si="30"/>
        <v>0</v>
      </c>
      <c r="BF62">
        <f t="shared" si="33"/>
        <v>0</v>
      </c>
      <c r="BG62">
        <f t="shared" si="31"/>
        <v>1</v>
      </c>
    </row>
    <row r="63" spans="1:59" ht="12.75">
      <c r="A63" s="35" t="s">
        <v>162</v>
      </c>
      <c r="B63" s="13"/>
      <c r="D63" s="134"/>
      <c r="E63" s="127" t="s">
        <v>163</v>
      </c>
      <c r="F63" s="136">
        <f>IF(B58&gt;0,42.3/F62^0.5,)</f>
        <v>0</v>
      </c>
      <c r="N63" s="83">
        <v>10</v>
      </c>
      <c r="O63" s="84">
        <v>0.44</v>
      </c>
      <c r="Q63" s="307">
        <v>6</v>
      </c>
      <c r="R63" s="375" t="e">
        <f t="shared" si="34"/>
        <v>#DIV/0!</v>
      </c>
      <c r="S63" s="375" t="e">
        <f t="shared" si="35"/>
        <v>#DIV/0!</v>
      </c>
      <c r="T63" s="6"/>
      <c r="U63" s="6"/>
      <c r="V63" s="5">
        <v>8.22</v>
      </c>
      <c r="W63" s="5">
        <v>5.18</v>
      </c>
      <c r="X63" s="5">
        <f t="shared" si="36"/>
        <v>6</v>
      </c>
      <c r="Y63" s="5">
        <f t="shared" si="37"/>
        <v>2.4000000000000004</v>
      </c>
      <c r="Z63" s="5">
        <f t="shared" si="38"/>
        <v>3.5999999999999996</v>
      </c>
      <c r="AA63" s="5">
        <f t="shared" si="38"/>
        <v>4.800000000000001</v>
      </c>
      <c r="AB63" s="249">
        <f t="shared" si="38"/>
        <v>6</v>
      </c>
      <c r="AO63">
        <f t="shared" si="18"/>
        <v>343.77467707849394</v>
      </c>
      <c r="AP63">
        <v>6</v>
      </c>
      <c r="AQ63">
        <f t="shared" si="19"/>
        <v>0.7849269372748657</v>
      </c>
      <c r="AR63">
        <f t="shared" si="20"/>
        <v>0.9949962483002227</v>
      </c>
      <c r="AS63" s="232">
        <f t="shared" si="24"/>
        <v>0.9994000162662157</v>
      </c>
      <c r="AT63">
        <f t="shared" si="21"/>
        <v>0.9949962483002227</v>
      </c>
      <c r="AU63">
        <f t="shared" si="22"/>
        <v>0.005003751699777292</v>
      </c>
      <c r="AV63">
        <f t="shared" si="23"/>
        <v>-0.4949962483002227</v>
      </c>
      <c r="AW63" s="232">
        <f t="shared" si="17"/>
        <v>0.9994000162662157</v>
      </c>
      <c r="AY63">
        <f t="shared" si="32"/>
        <v>1</v>
      </c>
      <c r="AZ63">
        <f t="shared" si="25"/>
        <v>0.01866025403784439</v>
      </c>
      <c r="BA63">
        <f t="shared" si="26"/>
        <v>-0.03732050807568878</v>
      </c>
      <c r="BB63">
        <f t="shared" si="27"/>
        <v>0</v>
      </c>
      <c r="BC63">
        <f t="shared" si="28"/>
        <v>0</v>
      </c>
      <c r="BD63">
        <f t="shared" si="29"/>
        <v>0</v>
      </c>
      <c r="BE63">
        <f t="shared" si="30"/>
        <v>0</v>
      </c>
      <c r="BF63">
        <f t="shared" si="33"/>
        <v>0</v>
      </c>
      <c r="BG63">
        <f t="shared" si="31"/>
        <v>1</v>
      </c>
    </row>
    <row r="64" spans="1:59" ht="12.75">
      <c r="A64" s="35" t="s">
        <v>164</v>
      </c>
      <c r="B64" s="461">
        <v>0.8</v>
      </c>
      <c r="C64" s="137"/>
      <c r="D64" s="134"/>
      <c r="E64" s="127" t="s">
        <v>165</v>
      </c>
      <c r="F64" s="136">
        <f>F63*B64</f>
        <v>0</v>
      </c>
      <c r="N64" s="83">
        <v>15</v>
      </c>
      <c r="O64" s="84">
        <v>0.4</v>
      </c>
      <c r="Q64" s="307">
        <v>7</v>
      </c>
      <c r="R64" s="375" t="e">
        <f t="shared" si="34"/>
        <v>#DIV/0!</v>
      </c>
      <c r="S64" s="375" t="e">
        <f t="shared" si="35"/>
        <v>#DIV/0!</v>
      </c>
      <c r="T64" s="8"/>
      <c r="U64" s="8"/>
      <c r="V64" s="5">
        <v>8.53</v>
      </c>
      <c r="W64" s="5">
        <v>3.5</v>
      </c>
      <c r="X64" s="5">
        <f t="shared" si="36"/>
        <v>7</v>
      </c>
      <c r="Y64" s="5">
        <f t="shared" si="37"/>
        <v>2.8000000000000003</v>
      </c>
      <c r="Z64" s="5">
        <f t="shared" si="38"/>
        <v>4.2</v>
      </c>
      <c r="AA64" s="5">
        <f t="shared" si="38"/>
        <v>5.6000000000000005</v>
      </c>
      <c r="AB64" s="249">
        <f t="shared" si="38"/>
        <v>7</v>
      </c>
      <c r="AO64">
        <f t="shared" si="18"/>
        <v>349.50425502980215</v>
      </c>
      <c r="AP64">
        <v>6.1</v>
      </c>
      <c r="AQ64">
        <f t="shared" si="19"/>
        <v>0.785270313034012</v>
      </c>
      <c r="AR64">
        <f t="shared" si="20"/>
        <v>0.9979041622695306</v>
      </c>
      <c r="AS64" s="232">
        <f t="shared" si="24"/>
        <v>0.9998372158614641</v>
      </c>
      <c r="AT64">
        <f t="shared" si="21"/>
        <v>0.9979041622695306</v>
      </c>
      <c r="AU64">
        <f t="shared" si="22"/>
        <v>0.0020958377304693965</v>
      </c>
      <c r="AV64">
        <f t="shared" si="23"/>
        <v>-0.4979041622695306</v>
      </c>
      <c r="AW64" s="232">
        <f t="shared" si="17"/>
        <v>0.9998372158614641</v>
      </c>
      <c r="AY64">
        <f t="shared" si="32"/>
        <v>1</v>
      </c>
      <c r="AZ64">
        <f t="shared" si="25"/>
        <v>0.01866025403784439</v>
      </c>
      <c r="BA64">
        <f t="shared" si="26"/>
        <v>-0.03732050807568878</v>
      </c>
      <c r="BB64">
        <f t="shared" si="27"/>
        <v>0</v>
      </c>
      <c r="BC64">
        <f t="shared" si="28"/>
        <v>0</v>
      </c>
      <c r="BD64">
        <f t="shared" si="29"/>
        <v>0</v>
      </c>
      <c r="BE64">
        <f t="shared" si="30"/>
        <v>0</v>
      </c>
      <c r="BF64">
        <f t="shared" si="33"/>
        <v>0</v>
      </c>
      <c r="BG64">
        <f t="shared" si="31"/>
        <v>1</v>
      </c>
    </row>
    <row r="65" spans="1:59" ht="12.75">
      <c r="A65" s="44" t="s">
        <v>166</v>
      </c>
      <c r="B65" s="125"/>
      <c r="C65" s="125"/>
      <c r="D65" s="134"/>
      <c r="E65" s="134"/>
      <c r="F65" s="133"/>
      <c r="N65" s="83">
        <v>20</v>
      </c>
      <c r="O65" s="84">
        <v>0.37</v>
      </c>
      <c r="P65" s="5"/>
      <c r="Q65" s="307">
        <v>8</v>
      </c>
      <c r="R65" s="375" t="e">
        <f t="shared" si="34"/>
        <v>#DIV/0!</v>
      </c>
      <c r="S65" s="375" t="e">
        <f t="shared" si="35"/>
        <v>#DIV/0!</v>
      </c>
      <c r="T65" s="6"/>
      <c r="U65" s="6"/>
      <c r="V65" s="5">
        <v>8.53</v>
      </c>
      <c r="W65" s="5">
        <v>4.26</v>
      </c>
      <c r="X65" s="5">
        <f t="shared" si="36"/>
        <v>8</v>
      </c>
      <c r="Y65" s="5">
        <f t="shared" si="37"/>
        <v>3.2</v>
      </c>
      <c r="Z65" s="5">
        <f t="shared" si="38"/>
        <v>4.8</v>
      </c>
      <c r="AA65" s="5">
        <f t="shared" si="38"/>
        <v>6.4</v>
      </c>
      <c r="AB65" s="249">
        <f t="shared" si="38"/>
        <v>8</v>
      </c>
      <c r="AO65">
        <f t="shared" si="18"/>
        <v>355.2338329811104</v>
      </c>
      <c r="AP65">
        <v>6.2</v>
      </c>
      <c r="AQ65">
        <f t="shared" si="19"/>
        <v>0.785386175352187</v>
      </c>
      <c r="AR65">
        <f t="shared" si="20"/>
        <v>0.9995675751366397</v>
      </c>
      <c r="AS65" s="232">
        <f t="shared" si="24"/>
        <v>0.9999847363467093</v>
      </c>
      <c r="AT65">
        <f t="shared" si="21"/>
        <v>0.9995675751366397</v>
      </c>
      <c r="AU65">
        <f t="shared" si="22"/>
        <v>0.000432424863360259</v>
      </c>
      <c r="AV65">
        <f t="shared" si="23"/>
        <v>-0.49956757513663974</v>
      </c>
      <c r="AW65" s="232">
        <f t="shared" si="17"/>
        <v>0.9999847363467093</v>
      </c>
      <c r="AY65">
        <f t="shared" si="32"/>
        <v>1</v>
      </c>
      <c r="AZ65">
        <f t="shared" si="25"/>
        <v>0.01866025403784439</v>
      </c>
      <c r="BA65">
        <f t="shared" si="26"/>
        <v>-0.03732050807568878</v>
      </c>
      <c r="BB65">
        <f t="shared" si="27"/>
        <v>0</v>
      </c>
      <c r="BC65">
        <f t="shared" si="28"/>
        <v>0</v>
      </c>
      <c r="BD65">
        <f t="shared" si="29"/>
        <v>0</v>
      </c>
      <c r="BE65">
        <f t="shared" si="30"/>
        <v>0</v>
      </c>
      <c r="BF65">
        <f t="shared" si="33"/>
        <v>0</v>
      </c>
      <c r="BG65">
        <f t="shared" si="31"/>
        <v>1</v>
      </c>
    </row>
    <row r="66" spans="1:59" ht="15" customHeight="1">
      <c r="A66" s="35" t="s">
        <v>167</v>
      </c>
      <c r="B66" s="456"/>
      <c r="C66" s="129"/>
      <c r="D66" s="134"/>
      <c r="E66" s="134" t="s">
        <v>168</v>
      </c>
      <c r="F66" s="132">
        <f>IF(B68&gt;0,B11/((1-B66)*B11+B66),)</f>
        <v>0</v>
      </c>
      <c r="N66" s="83">
        <v>25</v>
      </c>
      <c r="O66" s="84">
        <v>0.34</v>
      </c>
      <c r="P66" s="235"/>
      <c r="Q66" s="307">
        <v>9</v>
      </c>
      <c r="R66" s="375" t="e">
        <f t="shared" si="34"/>
        <v>#DIV/0!</v>
      </c>
      <c r="S66" s="375" t="e">
        <f t="shared" si="35"/>
        <v>#DIV/0!</v>
      </c>
      <c r="T66" s="6"/>
      <c r="U66" s="6"/>
      <c r="V66" s="5">
        <v>9.14</v>
      </c>
      <c r="W66" s="5">
        <v>3.35</v>
      </c>
      <c r="X66" s="5">
        <f t="shared" si="36"/>
        <v>9</v>
      </c>
      <c r="Y66" s="5">
        <f t="shared" si="37"/>
        <v>3.6</v>
      </c>
      <c r="Z66" s="5">
        <f t="shared" si="38"/>
        <v>5.3999999999999995</v>
      </c>
      <c r="AA66" s="5">
        <f t="shared" si="38"/>
        <v>7.2</v>
      </c>
      <c r="AB66" s="249">
        <f t="shared" si="38"/>
        <v>9</v>
      </c>
      <c r="AO66">
        <f t="shared" si="18"/>
        <v>360.96341093241864</v>
      </c>
      <c r="AP66">
        <v>6.3</v>
      </c>
      <c r="AQ66">
        <f t="shared" si="19"/>
        <v>0.7853982624394563</v>
      </c>
      <c r="AR66">
        <f t="shared" si="20"/>
        <v>0.999982329235671</v>
      </c>
      <c r="AS66" s="232">
        <f t="shared" si="24"/>
        <v>1.0000001261042013</v>
      </c>
      <c r="AT66">
        <f t="shared" si="21"/>
        <v>0.999982329235671</v>
      </c>
      <c r="AU66">
        <f t="shared" si="22"/>
        <v>1.7670764329014155E-05</v>
      </c>
      <c r="AV66">
        <f t="shared" si="23"/>
        <v>-0.499982329235671</v>
      </c>
      <c r="AW66" s="232">
        <f t="shared" si="17"/>
        <v>1.0000001261042013</v>
      </c>
      <c r="AY66">
        <f t="shared" si="32"/>
        <v>1</v>
      </c>
      <c r="AZ66">
        <f t="shared" si="25"/>
        <v>0.01866025403784439</v>
      </c>
      <c r="BA66">
        <f t="shared" si="26"/>
        <v>-0.03732050807568878</v>
      </c>
      <c r="BB66">
        <f t="shared" si="27"/>
        <v>0</v>
      </c>
      <c r="BC66">
        <f t="shared" si="28"/>
        <v>0</v>
      </c>
      <c r="BD66">
        <f t="shared" si="29"/>
        <v>0</v>
      </c>
      <c r="BE66">
        <f t="shared" si="30"/>
        <v>0</v>
      </c>
      <c r="BF66">
        <f t="shared" si="33"/>
        <v>0</v>
      </c>
      <c r="BG66">
        <f t="shared" si="31"/>
        <v>1</v>
      </c>
    </row>
    <row r="67" spans="1:59" ht="12.75">
      <c r="A67" s="35" t="s">
        <v>169</v>
      </c>
      <c r="B67" s="456"/>
      <c r="C67" s="129"/>
      <c r="D67" s="134"/>
      <c r="E67" s="127" t="s">
        <v>170</v>
      </c>
      <c r="F67" s="136">
        <f>IF(B68&gt;0,((B67/B68)*7.8+((B68-B67)/B68)*B11)*0.6+F66*0.4,)</f>
        <v>0</v>
      </c>
      <c r="N67" s="83">
        <v>30</v>
      </c>
      <c r="O67" s="84">
        <v>0.31</v>
      </c>
      <c r="P67" s="5"/>
      <c r="Q67" s="307">
        <v>10</v>
      </c>
      <c r="R67" s="375" t="e">
        <f t="shared" si="34"/>
        <v>#DIV/0!</v>
      </c>
      <c r="S67" s="375" t="e">
        <f t="shared" si="35"/>
        <v>#DIV/0!</v>
      </c>
      <c r="T67" s="6"/>
      <c r="U67" s="6"/>
      <c r="V67" s="5">
        <v>9.75</v>
      </c>
      <c r="W67" s="5">
        <v>4.26</v>
      </c>
      <c r="X67" s="5">
        <f t="shared" si="36"/>
        <v>10</v>
      </c>
      <c r="Y67" s="5">
        <f t="shared" si="37"/>
        <v>4</v>
      </c>
      <c r="Z67" s="5">
        <f t="shared" si="38"/>
        <v>6</v>
      </c>
      <c r="AA67" s="5">
        <f t="shared" si="38"/>
        <v>8</v>
      </c>
      <c r="AB67" s="249">
        <f t="shared" si="38"/>
        <v>10</v>
      </c>
      <c r="AS67" s="232"/>
      <c r="AY67">
        <f t="shared" si="32"/>
        <v>1</v>
      </c>
      <c r="AZ67">
        <f t="shared" si="25"/>
        <v>0.01866025403784439</v>
      </c>
      <c r="BA67">
        <f t="shared" si="26"/>
        <v>-0.03732050807568878</v>
      </c>
      <c r="BB67">
        <f t="shared" si="27"/>
        <v>0</v>
      </c>
      <c r="BC67">
        <f t="shared" si="28"/>
        <v>0</v>
      </c>
      <c r="BD67">
        <f t="shared" si="29"/>
        <v>0</v>
      </c>
      <c r="BE67">
        <f t="shared" si="30"/>
        <v>0</v>
      </c>
      <c r="BF67">
        <f t="shared" si="33"/>
        <v>0</v>
      </c>
      <c r="BG67">
        <f t="shared" si="31"/>
        <v>1</v>
      </c>
    </row>
    <row r="68" spans="1:59" ht="12.75">
      <c r="A68" s="35" t="s">
        <v>171</v>
      </c>
      <c r="B68" s="456"/>
      <c r="C68" s="129"/>
      <c r="D68" s="134"/>
      <c r="E68" s="134" t="s">
        <v>172</v>
      </c>
      <c r="F68" s="132">
        <f>(F62*F62*B59*PI()/4)*B68</f>
        <v>0</v>
      </c>
      <c r="G68" t="s">
        <v>173</v>
      </c>
      <c r="N68" s="83">
        <v>35</v>
      </c>
      <c r="O68" s="84">
        <v>0.28</v>
      </c>
      <c r="Q68" s="307">
        <v>11</v>
      </c>
      <c r="R68" s="375" t="e">
        <f t="shared" si="34"/>
        <v>#DIV/0!</v>
      </c>
      <c r="S68" s="375" t="e">
        <f t="shared" si="35"/>
        <v>#DIV/0!</v>
      </c>
      <c r="T68" s="6"/>
      <c r="U68" s="6"/>
      <c r="V68" s="5">
        <v>9.75</v>
      </c>
      <c r="W68" s="5">
        <v>5.48</v>
      </c>
      <c r="X68" s="5">
        <f t="shared" si="36"/>
        <v>11</v>
      </c>
      <c r="Y68" s="5">
        <f t="shared" si="37"/>
        <v>4.4</v>
      </c>
      <c r="Z68" s="5">
        <f t="shared" si="38"/>
        <v>6.6</v>
      </c>
      <c r="AA68" s="5">
        <f t="shared" si="38"/>
        <v>8.8</v>
      </c>
      <c r="AB68" s="249">
        <f t="shared" si="38"/>
        <v>11</v>
      </c>
      <c r="AQ68">
        <f>PI()*(AQ1/2)^2</f>
        <v>0.7853981633974483</v>
      </c>
      <c r="AS68" s="232"/>
      <c r="AY68">
        <f t="shared" si="32"/>
        <v>1</v>
      </c>
      <c r="AZ68">
        <f t="shared" si="25"/>
        <v>0.01866025403784439</v>
      </c>
      <c r="BA68">
        <f t="shared" si="26"/>
        <v>-0.03732050807568878</v>
      </c>
      <c r="BB68">
        <f t="shared" si="27"/>
        <v>0</v>
      </c>
      <c r="BC68">
        <f t="shared" si="28"/>
        <v>0</v>
      </c>
      <c r="BD68">
        <f t="shared" si="29"/>
        <v>0</v>
      </c>
      <c r="BE68">
        <f t="shared" si="30"/>
        <v>0</v>
      </c>
      <c r="BF68">
        <f t="shared" si="33"/>
        <v>0</v>
      </c>
      <c r="BG68">
        <f t="shared" si="31"/>
        <v>1</v>
      </c>
    </row>
    <row r="69" spans="1:59" ht="12.75">
      <c r="A69" s="48" t="s">
        <v>174</v>
      </c>
      <c r="B69" s="433">
        <v>15</v>
      </c>
      <c r="C69" s="138"/>
      <c r="D69" s="134"/>
      <c r="E69" s="134" t="s">
        <v>175</v>
      </c>
      <c r="F69" s="132">
        <f>IF(B66&gt;0,IF(B66&gt;0.65,1,1-(65-(B66*100))*0.013),)</f>
        <v>0</v>
      </c>
      <c r="N69" s="83">
        <v>40</v>
      </c>
      <c r="O69" s="84">
        <v>0.25</v>
      </c>
      <c r="Q69" s="307">
        <v>12</v>
      </c>
      <c r="R69" s="375" t="e">
        <f t="shared" si="34"/>
        <v>#DIV/0!</v>
      </c>
      <c r="S69" s="375" t="e">
        <f t="shared" si="35"/>
        <v>#DIV/0!</v>
      </c>
      <c r="T69" s="6"/>
      <c r="U69" s="6"/>
      <c r="V69" s="5">
        <v>10.36</v>
      </c>
      <c r="W69" s="5">
        <v>4.26</v>
      </c>
      <c r="X69" s="5">
        <f t="shared" si="36"/>
        <v>12</v>
      </c>
      <c r="Y69" s="5">
        <f t="shared" si="37"/>
        <v>4.800000000000001</v>
      </c>
      <c r="Z69" s="5">
        <f t="shared" si="38"/>
        <v>7.199999999999999</v>
      </c>
      <c r="AA69" s="5">
        <f t="shared" si="38"/>
        <v>9.600000000000001</v>
      </c>
      <c r="AB69" s="249">
        <f t="shared" si="38"/>
        <v>12</v>
      </c>
      <c r="AS69" s="232"/>
      <c r="AY69">
        <f t="shared" si="32"/>
        <v>1</v>
      </c>
      <c r="AZ69">
        <f t="shared" si="25"/>
        <v>0.01866025403784439</v>
      </c>
      <c r="BA69">
        <f t="shared" si="26"/>
        <v>-0.03732050807568878</v>
      </c>
      <c r="BB69">
        <f t="shared" si="27"/>
        <v>0</v>
      </c>
      <c r="BC69">
        <f t="shared" si="28"/>
        <v>0</v>
      </c>
      <c r="BD69">
        <f t="shared" si="29"/>
        <v>0</v>
      </c>
      <c r="BE69">
        <f t="shared" si="30"/>
        <v>0</v>
      </c>
      <c r="BF69">
        <f t="shared" si="33"/>
        <v>0</v>
      </c>
      <c r="BG69">
        <f t="shared" si="31"/>
        <v>1</v>
      </c>
    </row>
    <row r="70" spans="1:59" ht="12.75">
      <c r="A70" s="35" t="s">
        <v>176</v>
      </c>
      <c r="B70" s="461">
        <v>0.8</v>
      </c>
      <c r="C70" s="227"/>
      <c r="D70" s="134"/>
      <c r="E70" s="134" t="s">
        <v>177</v>
      </c>
      <c r="F70" s="374">
        <f>IF(B58&gt;0,(B70)*'Autogenous Mill'!Y284,)</f>
        <v>0</v>
      </c>
      <c r="N70" s="83">
        <v>45</v>
      </c>
      <c r="O70" s="84">
        <v>0.22</v>
      </c>
      <c r="Q70" s="290"/>
      <c r="R70" s="13"/>
      <c r="S70" s="6"/>
      <c r="T70" s="6"/>
      <c r="U70" s="6"/>
      <c r="V70" s="5">
        <v>10.36</v>
      </c>
      <c r="W70" s="5">
        <v>4.87</v>
      </c>
      <c r="X70" s="7"/>
      <c r="Y70" s="5">
        <f>Q70*$Y69</f>
        <v>0</v>
      </c>
      <c r="Z70" s="5"/>
      <c r="AA70" s="5"/>
      <c r="AB70" s="249"/>
      <c r="AS70" s="232"/>
      <c r="AY70">
        <f t="shared" si="32"/>
        <v>1</v>
      </c>
      <c r="AZ70">
        <f t="shared" si="25"/>
        <v>0.01866025403784439</v>
      </c>
      <c r="BA70">
        <f t="shared" si="26"/>
        <v>-0.03732050807568878</v>
      </c>
      <c r="BB70">
        <f t="shared" si="27"/>
        <v>0</v>
      </c>
      <c r="BC70">
        <f t="shared" si="28"/>
        <v>0</v>
      </c>
      <c r="BD70">
        <f t="shared" si="29"/>
        <v>0</v>
      </c>
      <c r="BE70">
        <f t="shared" si="30"/>
        <v>0</v>
      </c>
      <c r="BF70">
        <f t="shared" si="33"/>
        <v>0</v>
      </c>
      <c r="BG70">
        <f t="shared" si="31"/>
        <v>1</v>
      </c>
    </row>
    <row r="71" spans="1:59" ht="13.5" thickBot="1">
      <c r="A71" s="48" t="s">
        <v>178</v>
      </c>
      <c r="B71" s="431"/>
      <c r="C71" s="130"/>
      <c r="D71" s="134"/>
      <c r="E71" s="134" t="s">
        <v>179</v>
      </c>
      <c r="F71" s="139">
        <f>(F68+F70)*F67*1000</f>
        <v>0</v>
      </c>
      <c r="N71" s="85">
        <v>50</v>
      </c>
      <c r="O71" s="86">
        <v>0.2</v>
      </c>
      <c r="Q71" s="291"/>
      <c r="R71" s="313"/>
      <c r="S71" s="329"/>
      <c r="T71" s="329"/>
      <c r="U71" s="329"/>
      <c r="V71" s="303"/>
      <c r="W71" s="303"/>
      <c r="X71" s="303"/>
      <c r="Y71" s="292"/>
      <c r="Z71" s="292"/>
      <c r="AA71" s="292"/>
      <c r="AB71" s="256"/>
      <c r="AS71" s="232"/>
      <c r="AY71">
        <f t="shared" si="32"/>
        <v>1</v>
      </c>
      <c r="AZ71">
        <f aca="true" t="shared" si="39" ref="AZ71:AZ102">(AY71/100-0.005)/TAN($AZ$4*PI()/180)</f>
        <v>0.01866025403784439</v>
      </c>
      <c r="BA71">
        <f aca="true" t="shared" si="40" ref="BA71:BA102">$AZ$1-2*AZ71</f>
        <v>-0.03732050807568878</v>
      </c>
      <c r="BB71">
        <f aca="true" t="shared" si="41" ref="BB71:BB102">IF($AZ$5/BA71&lt;0.5,$AZ$5/BA71,0.5)</f>
        <v>0</v>
      </c>
      <c r="BC71">
        <f aca="true" t="shared" si="42" ref="BC71:BC102">IF(BF71+BG71=2,3.1316*BB71^4-1.453*BB71^3+0.5868*BB71^2-1.3257*BB71+0.5,0)</f>
        <v>0</v>
      </c>
      <c r="BD71">
        <f aca="true" t="shared" si="43" ref="BD71:BD102">IF(BF71+BG71=2,(PI()*BA71^2/4),0)*0.01</f>
        <v>0</v>
      </c>
      <c r="BE71">
        <f aca="true" t="shared" si="44" ref="BE71:BE102">BD71*BC71</f>
        <v>0</v>
      </c>
      <c r="BF71">
        <f t="shared" si="33"/>
        <v>0</v>
      </c>
      <c r="BG71">
        <f aca="true" t="shared" si="45" ref="BG71:BG102">IF(BB71=0.5,0,1)</f>
        <v>1</v>
      </c>
    </row>
    <row r="72" spans="1:59" ht="16.5" thickBot="1">
      <c r="A72" s="34"/>
      <c r="B72" s="5"/>
      <c r="C72" s="125"/>
      <c r="D72" s="134"/>
      <c r="E72" s="134" t="s">
        <v>180</v>
      </c>
      <c r="F72" s="325">
        <f>IF(B68&gt;0,0.1957*Q72^4-0.1817*Q72^3+0.1467*Q72^2-0.6629*Q72+0.501,)</f>
        <v>0</v>
      </c>
      <c r="G72" s="16"/>
      <c r="Q72">
        <f>B68</f>
        <v>0</v>
      </c>
      <c r="R72" s="2"/>
      <c r="S72" s="3"/>
      <c r="T72" s="3"/>
      <c r="U72" s="3"/>
      <c r="V72" s="1"/>
      <c r="W72" s="1"/>
      <c r="X72" s="1"/>
      <c r="AS72" s="232"/>
      <c r="AY72">
        <f aca="true" t="shared" si="46" ref="AY72:AY103">IF(BA71-($AZ$1/4)&gt;0,AY71+1,AY71)</f>
        <v>1</v>
      </c>
      <c r="AZ72">
        <f t="shared" si="39"/>
        <v>0.01866025403784439</v>
      </c>
      <c r="BA72">
        <f t="shared" si="40"/>
        <v>-0.03732050807568878</v>
      </c>
      <c r="BB72">
        <f t="shared" si="41"/>
        <v>0</v>
      </c>
      <c r="BC72">
        <f t="shared" si="42"/>
        <v>0</v>
      </c>
      <c r="BD72">
        <f t="shared" si="43"/>
        <v>0</v>
      </c>
      <c r="BE72">
        <f t="shared" si="44"/>
        <v>0</v>
      </c>
      <c r="BF72">
        <f aca="true" t="shared" si="47" ref="BF72:BF103">AY72-AY71</f>
        <v>0</v>
      </c>
      <c r="BG72">
        <f t="shared" si="45"/>
        <v>1</v>
      </c>
    </row>
    <row r="73" spans="1:59" ht="21" thickBot="1">
      <c r="A73" s="42"/>
      <c r="B73" s="27"/>
      <c r="C73" s="140"/>
      <c r="D73" s="141"/>
      <c r="E73" s="142" t="s">
        <v>181</v>
      </c>
      <c r="F73" s="143">
        <f>ROUNDUP(F69*F62*F64*F71*F72/1200,-1)</f>
        <v>0</v>
      </c>
      <c r="G73" s="340">
        <f>G91*0.93</f>
        <v>0</v>
      </c>
      <c r="H73" s="341" t="s">
        <v>182</v>
      </c>
      <c r="I73" s="342"/>
      <c r="J73" s="343"/>
      <c r="K73" s="1"/>
      <c r="L73" s="1"/>
      <c r="M73" s="1"/>
      <c r="N73" s="579" t="s">
        <v>5</v>
      </c>
      <c r="O73" s="580"/>
      <c r="P73" s="579" t="s">
        <v>317</v>
      </c>
      <c r="Q73" s="580"/>
      <c r="AS73" s="232"/>
      <c r="AY73">
        <f t="shared" si="46"/>
        <v>1</v>
      </c>
      <c r="AZ73">
        <f t="shared" si="39"/>
        <v>0.01866025403784439</v>
      </c>
      <c r="BA73">
        <f t="shared" si="40"/>
        <v>-0.03732050807568878</v>
      </c>
      <c r="BB73">
        <f t="shared" si="41"/>
        <v>0</v>
      </c>
      <c r="BC73">
        <f t="shared" si="42"/>
        <v>0</v>
      </c>
      <c r="BD73">
        <f t="shared" si="43"/>
        <v>0</v>
      </c>
      <c r="BE73">
        <f t="shared" si="44"/>
        <v>0</v>
      </c>
      <c r="BF73">
        <f t="shared" si="47"/>
        <v>0</v>
      </c>
      <c r="BG73">
        <f t="shared" si="45"/>
        <v>1</v>
      </c>
    </row>
    <row r="74" spans="1:59" ht="12.75">
      <c r="A74" s="34"/>
      <c r="B74" s="5"/>
      <c r="C74" s="5"/>
      <c r="D74" s="5"/>
      <c r="E74" s="5"/>
      <c r="F74" s="58"/>
      <c r="G74" s="290"/>
      <c r="H74" s="5"/>
      <c r="I74" s="5"/>
      <c r="J74" s="5"/>
      <c r="K74" s="7"/>
      <c r="N74" s="581" t="s">
        <v>501</v>
      </c>
      <c r="O74" s="582" t="s">
        <v>142</v>
      </c>
      <c r="P74" s="581" t="s">
        <v>501</v>
      </c>
      <c r="Q74" s="582" t="s">
        <v>142</v>
      </c>
      <c r="AS74" s="232"/>
      <c r="AY74">
        <f t="shared" si="46"/>
        <v>1</v>
      </c>
      <c r="AZ74">
        <f t="shared" si="39"/>
        <v>0.01866025403784439</v>
      </c>
      <c r="BA74">
        <f t="shared" si="40"/>
        <v>-0.03732050807568878</v>
      </c>
      <c r="BB74">
        <f t="shared" si="41"/>
        <v>0</v>
      </c>
      <c r="BC74">
        <f t="shared" si="42"/>
        <v>0</v>
      </c>
      <c r="BD74">
        <f t="shared" si="43"/>
        <v>0</v>
      </c>
      <c r="BE74">
        <f t="shared" si="44"/>
        <v>0</v>
      </c>
      <c r="BF74">
        <f t="shared" si="47"/>
        <v>0</v>
      </c>
      <c r="BG74">
        <f t="shared" si="45"/>
        <v>1</v>
      </c>
    </row>
    <row r="75" spans="1:59" ht="18">
      <c r="A75" s="34"/>
      <c r="C75" s="125"/>
      <c r="D75" s="199"/>
      <c r="E75" s="163" t="s">
        <v>183</v>
      </c>
      <c r="F75" s="501">
        <f>ROUNDUP(J75,1)</f>
        <v>0</v>
      </c>
      <c r="I75" s="211" t="s">
        <v>184</v>
      </c>
      <c r="J75" s="206">
        <f>IF(F73&gt;0,F36/F73,)</f>
        <v>0</v>
      </c>
      <c r="K75" s="7"/>
      <c r="N75" s="583">
        <f>O75/3.2808</f>
        <v>7.315288953913679</v>
      </c>
      <c r="O75" s="584">
        <v>24</v>
      </c>
      <c r="P75" s="583">
        <f>Q75/3.2808</f>
        <v>1.21921482565228</v>
      </c>
      <c r="Q75" s="584">
        <v>4</v>
      </c>
      <c r="AS75" s="232"/>
      <c r="AY75">
        <f t="shared" si="46"/>
        <v>1</v>
      </c>
      <c r="AZ75">
        <f t="shared" si="39"/>
        <v>0.01866025403784439</v>
      </c>
      <c r="BA75">
        <f t="shared" si="40"/>
        <v>-0.03732050807568878</v>
      </c>
      <c r="BB75">
        <f t="shared" si="41"/>
        <v>0</v>
      </c>
      <c r="BC75">
        <f t="shared" si="42"/>
        <v>0</v>
      </c>
      <c r="BD75">
        <f t="shared" si="43"/>
        <v>0</v>
      </c>
      <c r="BE75">
        <f t="shared" si="44"/>
        <v>0</v>
      </c>
      <c r="BF75">
        <f t="shared" si="47"/>
        <v>0</v>
      </c>
      <c r="BG75">
        <f t="shared" si="45"/>
        <v>1</v>
      </c>
    </row>
    <row r="76" spans="1:59" ht="18">
      <c r="A76" s="211"/>
      <c r="B76" s="206"/>
      <c r="C76" s="125"/>
      <c r="D76" s="199"/>
      <c r="E76" s="163"/>
      <c r="F76" s="180"/>
      <c r="H76" s="290"/>
      <c r="I76" s="502" t="s">
        <v>185</v>
      </c>
      <c r="J76" s="5"/>
      <c r="K76" s="7"/>
      <c r="N76" s="583">
        <f aca="true" t="shared" si="48" ref="N76:N85">O76/3.2808</f>
        <v>7.924896366739819</v>
      </c>
      <c r="O76" s="584">
        <v>26</v>
      </c>
      <c r="P76" s="583">
        <f aca="true" t="shared" si="49" ref="P76:P85">Q76/3.2808</f>
        <v>1.8288222384784198</v>
      </c>
      <c r="Q76" s="584">
        <v>6</v>
      </c>
      <c r="AS76" s="232"/>
      <c r="AY76">
        <f t="shared" si="46"/>
        <v>1</v>
      </c>
      <c r="AZ76">
        <f t="shared" si="39"/>
        <v>0.01866025403784439</v>
      </c>
      <c r="BA76">
        <f t="shared" si="40"/>
        <v>-0.03732050807568878</v>
      </c>
      <c r="BB76">
        <f t="shared" si="41"/>
        <v>0</v>
      </c>
      <c r="BC76">
        <f t="shared" si="42"/>
        <v>0</v>
      </c>
      <c r="BD76">
        <f t="shared" si="43"/>
        <v>0</v>
      </c>
      <c r="BE76">
        <f t="shared" si="44"/>
        <v>0</v>
      </c>
      <c r="BF76">
        <f t="shared" si="47"/>
        <v>0</v>
      </c>
      <c r="BG76">
        <f t="shared" si="45"/>
        <v>1</v>
      </c>
    </row>
    <row r="77" spans="1:59" ht="18.75" thickBot="1">
      <c r="A77" s="60"/>
      <c r="B77" s="61"/>
      <c r="C77" s="207"/>
      <c r="D77" s="208"/>
      <c r="E77" s="209" t="s">
        <v>186</v>
      </c>
      <c r="F77" s="210">
        <f>F75*F73</f>
        <v>0</v>
      </c>
      <c r="G77" s="290"/>
      <c r="H77" s="5"/>
      <c r="I77" s="5"/>
      <c r="J77" s="5"/>
      <c r="K77" s="7"/>
      <c r="N77" s="583">
        <f t="shared" si="48"/>
        <v>8.53450377956596</v>
      </c>
      <c r="O77" s="584">
        <v>28</v>
      </c>
      <c r="P77" s="583">
        <f t="shared" si="49"/>
        <v>2.43842965130456</v>
      </c>
      <c r="Q77" s="584">
        <v>8</v>
      </c>
      <c r="AS77" s="232"/>
      <c r="AY77">
        <f t="shared" si="46"/>
        <v>1</v>
      </c>
      <c r="AZ77">
        <f t="shared" si="39"/>
        <v>0.01866025403784439</v>
      </c>
      <c r="BA77">
        <f t="shared" si="40"/>
        <v>-0.03732050807568878</v>
      </c>
      <c r="BB77">
        <f t="shared" si="41"/>
        <v>0</v>
      </c>
      <c r="BC77">
        <f t="shared" si="42"/>
        <v>0</v>
      </c>
      <c r="BD77">
        <f t="shared" si="43"/>
        <v>0</v>
      </c>
      <c r="BE77">
        <f t="shared" si="44"/>
        <v>0</v>
      </c>
      <c r="BF77">
        <f t="shared" si="47"/>
        <v>0</v>
      </c>
      <c r="BG77">
        <f t="shared" si="45"/>
        <v>1</v>
      </c>
    </row>
    <row r="78" spans="1:59" ht="13.5" thickTop="1">
      <c r="A78" s="101"/>
      <c r="B78" s="22"/>
      <c r="C78" s="22"/>
      <c r="D78" s="5"/>
      <c r="E78" s="23"/>
      <c r="F78" s="66"/>
      <c r="G78" s="290"/>
      <c r="H78" s="5"/>
      <c r="I78" s="5"/>
      <c r="J78" s="5"/>
      <c r="K78" s="7"/>
      <c r="N78" s="583">
        <f t="shared" si="48"/>
        <v>9.1441111923921</v>
      </c>
      <c r="O78" s="584">
        <v>30</v>
      </c>
      <c r="P78" s="583">
        <f t="shared" si="49"/>
        <v>3.0480370641306997</v>
      </c>
      <c r="Q78" s="584">
        <v>10</v>
      </c>
      <c r="AS78" s="232"/>
      <c r="AY78">
        <f t="shared" si="46"/>
        <v>1</v>
      </c>
      <c r="AZ78">
        <f t="shared" si="39"/>
        <v>0.01866025403784439</v>
      </c>
      <c r="BA78">
        <f t="shared" si="40"/>
        <v>-0.03732050807568878</v>
      </c>
      <c r="BB78">
        <f t="shared" si="41"/>
        <v>0</v>
      </c>
      <c r="BC78">
        <f t="shared" si="42"/>
        <v>0</v>
      </c>
      <c r="BD78">
        <f t="shared" si="43"/>
        <v>0</v>
      </c>
      <c r="BE78">
        <f t="shared" si="44"/>
        <v>0</v>
      </c>
      <c r="BF78">
        <f t="shared" si="47"/>
        <v>0</v>
      </c>
      <c r="BG78">
        <f t="shared" si="45"/>
        <v>1</v>
      </c>
    </row>
    <row r="79" spans="1:59" ht="12.75">
      <c r="A79" s="101"/>
      <c r="B79" s="22"/>
      <c r="C79" s="22"/>
      <c r="D79" s="5"/>
      <c r="E79" s="23"/>
      <c r="F79" s="66"/>
      <c r="G79" s="290"/>
      <c r="H79" s="5"/>
      <c r="I79" s="5"/>
      <c r="J79" s="5"/>
      <c r="K79" s="7"/>
      <c r="N79" s="583">
        <f t="shared" si="48"/>
        <v>9.75371860521824</v>
      </c>
      <c r="O79" s="584">
        <v>32</v>
      </c>
      <c r="P79" s="583">
        <f t="shared" si="49"/>
        <v>3.6576444769568397</v>
      </c>
      <c r="Q79" s="584">
        <v>12</v>
      </c>
      <c r="AS79" s="232"/>
      <c r="AY79">
        <f t="shared" si="46"/>
        <v>1</v>
      </c>
      <c r="AZ79">
        <f t="shared" si="39"/>
        <v>0.01866025403784439</v>
      </c>
      <c r="BA79">
        <f t="shared" si="40"/>
        <v>-0.03732050807568878</v>
      </c>
      <c r="BB79">
        <f t="shared" si="41"/>
        <v>0</v>
      </c>
      <c r="BC79">
        <f t="shared" si="42"/>
        <v>0</v>
      </c>
      <c r="BD79">
        <f t="shared" si="43"/>
        <v>0</v>
      </c>
      <c r="BE79">
        <f t="shared" si="44"/>
        <v>0</v>
      </c>
      <c r="BF79">
        <f t="shared" si="47"/>
        <v>0</v>
      </c>
      <c r="BG79">
        <f t="shared" si="45"/>
        <v>1</v>
      </c>
    </row>
    <row r="80" spans="1:59" ht="12.75">
      <c r="A80" s="101"/>
      <c r="B80" s="22"/>
      <c r="C80" s="22"/>
      <c r="D80" s="5"/>
      <c r="E80" s="23"/>
      <c r="F80" s="66"/>
      <c r="G80" s="290"/>
      <c r="H80" s="5"/>
      <c r="I80" s="5"/>
      <c r="J80" s="5"/>
      <c r="K80" s="7"/>
      <c r="N80" s="583">
        <f t="shared" si="48"/>
        <v>10.36332601804438</v>
      </c>
      <c r="O80" s="584">
        <v>34</v>
      </c>
      <c r="P80" s="583">
        <f t="shared" si="49"/>
        <v>4.26725188978298</v>
      </c>
      <c r="Q80" s="584">
        <v>14</v>
      </c>
      <c r="AS80" s="232"/>
      <c r="AY80">
        <f t="shared" si="46"/>
        <v>1</v>
      </c>
      <c r="AZ80">
        <f t="shared" si="39"/>
        <v>0.01866025403784439</v>
      </c>
      <c r="BA80">
        <f t="shared" si="40"/>
        <v>-0.03732050807568878</v>
      </c>
      <c r="BB80">
        <f t="shared" si="41"/>
        <v>0</v>
      </c>
      <c r="BC80">
        <f t="shared" si="42"/>
        <v>0</v>
      </c>
      <c r="BD80">
        <f t="shared" si="43"/>
        <v>0</v>
      </c>
      <c r="BE80">
        <f t="shared" si="44"/>
        <v>0</v>
      </c>
      <c r="BF80">
        <f t="shared" si="47"/>
        <v>0</v>
      </c>
      <c r="BG80">
        <f t="shared" si="45"/>
        <v>1</v>
      </c>
    </row>
    <row r="81" spans="1:59" ht="12.75">
      <c r="A81" s="101"/>
      <c r="B81" s="22"/>
      <c r="C81" s="22"/>
      <c r="D81" s="5"/>
      <c r="E81" s="23"/>
      <c r="F81" s="66"/>
      <c r="G81" s="290"/>
      <c r="H81" s="5"/>
      <c r="I81" s="5"/>
      <c r="J81" s="5"/>
      <c r="K81" s="7"/>
      <c r="N81" s="583">
        <f t="shared" si="48"/>
        <v>10.972933430870519</v>
      </c>
      <c r="O81" s="584">
        <v>36</v>
      </c>
      <c r="P81" s="583">
        <f t="shared" si="49"/>
        <v>4.87685930260912</v>
      </c>
      <c r="Q81" s="584">
        <v>16</v>
      </c>
      <c r="AS81" s="232"/>
      <c r="AY81">
        <f t="shared" si="46"/>
        <v>1</v>
      </c>
      <c r="AZ81">
        <f t="shared" si="39"/>
        <v>0.01866025403784439</v>
      </c>
      <c r="BA81">
        <f t="shared" si="40"/>
        <v>-0.03732050807568878</v>
      </c>
      <c r="BB81">
        <f t="shared" si="41"/>
        <v>0</v>
      </c>
      <c r="BC81">
        <f t="shared" si="42"/>
        <v>0</v>
      </c>
      <c r="BD81">
        <f t="shared" si="43"/>
        <v>0</v>
      </c>
      <c r="BE81">
        <f t="shared" si="44"/>
        <v>0</v>
      </c>
      <c r="BF81">
        <f t="shared" si="47"/>
        <v>0</v>
      </c>
      <c r="BG81">
        <f t="shared" si="45"/>
        <v>1</v>
      </c>
    </row>
    <row r="82" spans="1:59" ht="12.75">
      <c r="A82" s="101"/>
      <c r="B82" s="22"/>
      <c r="C82" s="22"/>
      <c r="D82" s="5"/>
      <c r="E82" s="23"/>
      <c r="F82" s="66"/>
      <c r="G82" s="290"/>
      <c r="H82" s="5"/>
      <c r="I82" s="5"/>
      <c r="J82" s="5"/>
      <c r="K82" s="7"/>
      <c r="N82" s="583">
        <f t="shared" si="48"/>
        <v>11.582540843696659</v>
      </c>
      <c r="O82" s="584">
        <v>38</v>
      </c>
      <c r="P82" s="583">
        <f t="shared" si="49"/>
        <v>5.4864667154352595</v>
      </c>
      <c r="Q82" s="584">
        <v>18</v>
      </c>
      <c r="AS82" s="232"/>
      <c r="AY82">
        <f t="shared" si="46"/>
        <v>1</v>
      </c>
      <c r="AZ82">
        <f t="shared" si="39"/>
        <v>0.01866025403784439</v>
      </c>
      <c r="BA82">
        <f t="shared" si="40"/>
        <v>-0.03732050807568878</v>
      </c>
      <c r="BB82">
        <f t="shared" si="41"/>
        <v>0</v>
      </c>
      <c r="BC82">
        <f t="shared" si="42"/>
        <v>0</v>
      </c>
      <c r="BD82">
        <f t="shared" si="43"/>
        <v>0</v>
      </c>
      <c r="BE82">
        <f t="shared" si="44"/>
        <v>0</v>
      </c>
      <c r="BF82">
        <f t="shared" si="47"/>
        <v>0</v>
      </c>
      <c r="BG82">
        <f t="shared" si="45"/>
        <v>1</v>
      </c>
    </row>
    <row r="83" spans="1:60" s="5" customFormat="1" ht="13.5" thickBot="1">
      <c r="A83" s="101"/>
      <c r="B83" s="22"/>
      <c r="C83" s="22"/>
      <c r="E83" s="23"/>
      <c r="F83" s="66"/>
      <c r="G83" s="290"/>
      <c r="K83" s="7"/>
      <c r="N83" s="583">
        <f t="shared" si="48"/>
        <v>12.192148256522799</v>
      </c>
      <c r="O83" s="584">
        <v>40</v>
      </c>
      <c r="P83" s="583">
        <f t="shared" si="49"/>
        <v>6.0960741282613995</v>
      </c>
      <c r="Q83" s="584">
        <v>20</v>
      </c>
      <c r="R83"/>
      <c r="S83"/>
      <c r="T83"/>
      <c r="U83"/>
      <c r="V83"/>
      <c r="AO83"/>
      <c r="AP83"/>
      <c r="AQ83"/>
      <c r="AR83"/>
      <c r="AS83" s="232"/>
      <c r="AT83"/>
      <c r="AU83"/>
      <c r="AV83"/>
      <c r="AW83"/>
      <c r="AX83"/>
      <c r="AY83">
        <f t="shared" si="46"/>
        <v>1</v>
      </c>
      <c r="AZ83">
        <f t="shared" si="39"/>
        <v>0.01866025403784439</v>
      </c>
      <c r="BA83">
        <f t="shared" si="40"/>
        <v>-0.03732050807568878</v>
      </c>
      <c r="BB83">
        <f t="shared" si="41"/>
        <v>0</v>
      </c>
      <c r="BC83">
        <f t="shared" si="42"/>
        <v>0</v>
      </c>
      <c r="BD83">
        <f t="shared" si="43"/>
        <v>0</v>
      </c>
      <c r="BE83">
        <f t="shared" si="44"/>
        <v>0</v>
      </c>
      <c r="BF83">
        <f t="shared" si="47"/>
        <v>0</v>
      </c>
      <c r="BG83">
        <f t="shared" si="45"/>
        <v>1</v>
      </c>
      <c r="BH83"/>
    </row>
    <row r="84" spans="1:59" ht="19.5" thickBot="1" thickTop="1">
      <c r="A84" s="62" t="s">
        <v>187</v>
      </c>
      <c r="B84" s="63"/>
      <c r="C84" s="63"/>
      <c r="D84" s="64"/>
      <c r="E84" s="64"/>
      <c r="F84" s="65"/>
      <c r="G84" s="290"/>
      <c r="H84" s="5"/>
      <c r="I84" s="5"/>
      <c r="J84" s="5"/>
      <c r="K84" s="7"/>
      <c r="N84" s="583">
        <f t="shared" si="48"/>
        <v>12.801755669348939</v>
      </c>
      <c r="O84" s="584">
        <v>42</v>
      </c>
      <c r="P84" s="583">
        <f t="shared" si="49"/>
        <v>6.705681541087539</v>
      </c>
      <c r="Q84" s="584">
        <v>22</v>
      </c>
      <c r="AS84" s="232"/>
      <c r="AY84">
        <f t="shared" si="46"/>
        <v>1</v>
      </c>
      <c r="AZ84">
        <f t="shared" si="39"/>
        <v>0.01866025403784439</v>
      </c>
      <c r="BA84">
        <f t="shared" si="40"/>
        <v>-0.03732050807568878</v>
      </c>
      <c r="BB84">
        <f t="shared" si="41"/>
        <v>0</v>
      </c>
      <c r="BC84">
        <f t="shared" si="42"/>
        <v>0</v>
      </c>
      <c r="BD84">
        <f t="shared" si="43"/>
        <v>0</v>
      </c>
      <c r="BE84">
        <f t="shared" si="44"/>
        <v>0</v>
      </c>
      <c r="BF84">
        <f t="shared" si="47"/>
        <v>0</v>
      </c>
      <c r="BG84">
        <f t="shared" si="45"/>
        <v>1</v>
      </c>
    </row>
    <row r="85" spans="1:59" ht="13.5" thickBot="1">
      <c r="A85" s="43"/>
      <c r="B85" s="17"/>
      <c r="C85" s="17"/>
      <c r="D85" s="5"/>
      <c r="E85" s="47" t="s">
        <v>188</v>
      </c>
      <c r="F85" s="66">
        <f>F73</f>
        <v>0</v>
      </c>
      <c r="G85" s="290"/>
      <c r="H85" s="5"/>
      <c r="I85" s="5"/>
      <c r="J85" s="5"/>
      <c r="K85" s="7"/>
      <c r="N85" s="585">
        <f t="shared" si="48"/>
        <v>13.411363082175079</v>
      </c>
      <c r="O85" s="586">
        <v>44</v>
      </c>
      <c r="P85" s="585">
        <f t="shared" si="49"/>
        <v>7.315288953913679</v>
      </c>
      <c r="Q85" s="586">
        <v>24</v>
      </c>
      <c r="AS85" s="232"/>
      <c r="AY85">
        <f t="shared" si="46"/>
        <v>1</v>
      </c>
      <c r="AZ85">
        <f t="shared" si="39"/>
        <v>0.01866025403784439</v>
      </c>
      <c r="BA85">
        <f t="shared" si="40"/>
        <v>-0.03732050807568878</v>
      </c>
      <c r="BB85">
        <f t="shared" si="41"/>
        <v>0</v>
      </c>
      <c r="BC85">
        <f t="shared" si="42"/>
        <v>0</v>
      </c>
      <c r="BD85">
        <f t="shared" si="43"/>
        <v>0</v>
      </c>
      <c r="BE85">
        <f t="shared" si="44"/>
        <v>0</v>
      </c>
      <c r="BF85">
        <f t="shared" si="47"/>
        <v>0</v>
      </c>
      <c r="BG85">
        <f t="shared" si="45"/>
        <v>1</v>
      </c>
    </row>
    <row r="86" spans="1:59" ht="12.75">
      <c r="A86" s="44"/>
      <c r="B86" s="17"/>
      <c r="C86" t="s">
        <v>189</v>
      </c>
      <c r="D86" s="15"/>
      <c r="E86" s="21" t="s">
        <v>190</v>
      </c>
      <c r="F86" s="59">
        <f>IF(B58&gt;0,(1-B70)*F85*F70/((F70+F68)*B70),)</f>
        <v>0</v>
      </c>
      <c r="G86" s="290"/>
      <c r="H86" s="5"/>
      <c r="I86" s="5"/>
      <c r="J86" s="5"/>
      <c r="K86" s="7"/>
      <c r="AS86" s="232"/>
      <c r="AY86">
        <f t="shared" si="46"/>
        <v>1</v>
      </c>
      <c r="AZ86">
        <f t="shared" si="39"/>
        <v>0.01866025403784439</v>
      </c>
      <c r="BA86">
        <f t="shared" si="40"/>
        <v>-0.03732050807568878</v>
      </c>
      <c r="BB86">
        <f t="shared" si="41"/>
        <v>0</v>
      </c>
      <c r="BC86">
        <f t="shared" si="42"/>
        <v>0</v>
      </c>
      <c r="BD86">
        <f t="shared" si="43"/>
        <v>0</v>
      </c>
      <c r="BE86">
        <f t="shared" si="44"/>
        <v>0</v>
      </c>
      <c r="BF86">
        <f t="shared" si="47"/>
        <v>0</v>
      </c>
      <c r="BG86">
        <f t="shared" si="45"/>
        <v>1</v>
      </c>
    </row>
    <row r="87" spans="1:59" ht="12.75">
      <c r="A87" s="44"/>
      <c r="B87" s="17"/>
      <c r="C87" s="17"/>
      <c r="D87" s="5"/>
      <c r="E87" s="21" t="s">
        <v>191</v>
      </c>
      <c r="F87" s="59">
        <f>IF(B58&gt;0,(B58-B62)^3*F73/F62^3-F85,)</f>
        <v>0</v>
      </c>
      <c r="G87" s="301"/>
      <c r="H87" s="5"/>
      <c r="I87" s="5"/>
      <c r="J87" s="5"/>
      <c r="K87" s="7"/>
      <c r="AS87" s="232"/>
      <c r="AY87">
        <f t="shared" si="46"/>
        <v>1</v>
      </c>
      <c r="AZ87">
        <f t="shared" si="39"/>
        <v>0.01866025403784439</v>
      </c>
      <c r="BA87">
        <f t="shared" si="40"/>
        <v>-0.03732050807568878</v>
      </c>
      <c r="BB87">
        <f t="shared" si="41"/>
        <v>0</v>
      </c>
      <c r="BC87">
        <f t="shared" si="42"/>
        <v>0</v>
      </c>
      <c r="BD87">
        <f t="shared" si="43"/>
        <v>0</v>
      </c>
      <c r="BE87">
        <f t="shared" si="44"/>
        <v>0</v>
      </c>
      <c r="BF87">
        <f t="shared" si="47"/>
        <v>0</v>
      </c>
      <c r="BG87">
        <f t="shared" si="45"/>
        <v>1</v>
      </c>
    </row>
    <row r="88" spans="1:59" ht="15.75">
      <c r="A88" s="34"/>
      <c r="B88" s="17"/>
      <c r="C88" s="17"/>
      <c r="D88" s="16"/>
      <c r="E88" s="24" t="s">
        <v>192</v>
      </c>
      <c r="F88" s="67">
        <f>F85+F86+F87</f>
        <v>0</v>
      </c>
      <c r="G88" s="301"/>
      <c r="H88" s="5"/>
      <c r="I88" s="5"/>
      <c r="J88" s="5"/>
      <c r="K88" s="7"/>
      <c r="AS88" s="232"/>
      <c r="AY88">
        <f t="shared" si="46"/>
        <v>1</v>
      </c>
      <c r="AZ88">
        <f t="shared" si="39"/>
        <v>0.01866025403784439</v>
      </c>
      <c r="BA88">
        <f t="shared" si="40"/>
        <v>-0.03732050807568878</v>
      </c>
      <c r="BB88">
        <f t="shared" si="41"/>
        <v>0</v>
      </c>
      <c r="BC88">
        <f t="shared" si="42"/>
        <v>0</v>
      </c>
      <c r="BD88">
        <f t="shared" si="43"/>
        <v>0</v>
      </c>
      <c r="BE88">
        <f t="shared" si="44"/>
        <v>0</v>
      </c>
      <c r="BF88">
        <f t="shared" si="47"/>
        <v>0</v>
      </c>
      <c r="BG88">
        <f t="shared" si="45"/>
        <v>1</v>
      </c>
    </row>
    <row r="89" spans="1:59" ht="13.5" thickBot="1">
      <c r="A89" s="34"/>
      <c r="B89" s="17"/>
      <c r="C89" s="17"/>
      <c r="D89" s="5"/>
      <c r="E89" s="24"/>
      <c r="F89" s="68"/>
      <c r="G89" s="290"/>
      <c r="H89" s="5"/>
      <c r="I89" s="5"/>
      <c r="J89" s="5"/>
      <c r="K89" s="7"/>
      <c r="AS89" s="232"/>
      <c r="AY89">
        <f t="shared" si="46"/>
        <v>1</v>
      </c>
      <c r="AZ89">
        <f t="shared" si="39"/>
        <v>0.01866025403784439</v>
      </c>
      <c r="BA89">
        <f t="shared" si="40"/>
        <v>-0.03732050807568878</v>
      </c>
      <c r="BB89">
        <f t="shared" si="41"/>
        <v>0</v>
      </c>
      <c r="BC89">
        <f t="shared" si="42"/>
        <v>0</v>
      </c>
      <c r="BD89">
        <f t="shared" si="43"/>
        <v>0</v>
      </c>
      <c r="BE89">
        <f t="shared" si="44"/>
        <v>0</v>
      </c>
      <c r="BF89">
        <f t="shared" si="47"/>
        <v>0</v>
      </c>
      <c r="BG89">
        <f t="shared" si="45"/>
        <v>1</v>
      </c>
    </row>
    <row r="90" spans="1:59" ht="21" thickBot="1">
      <c r="A90" s="42"/>
      <c r="B90" s="29"/>
      <c r="C90" s="29"/>
      <c r="D90" s="30"/>
      <c r="E90" s="28" t="s">
        <v>477</v>
      </c>
      <c r="F90" s="69">
        <f>ROUNDUP(F88/0.97,-1)</f>
        <v>0</v>
      </c>
      <c r="G90" s="336">
        <f>B59*R56*F62^S56+B59*B67*14.38*F62^S56</f>
        <v>0</v>
      </c>
      <c r="H90" s="337" t="s">
        <v>193</v>
      </c>
      <c r="I90" s="254"/>
      <c r="J90" s="255"/>
      <c r="K90" s="1"/>
      <c r="AS90" s="232"/>
      <c r="AY90">
        <f t="shared" si="46"/>
        <v>1</v>
      </c>
      <c r="AZ90">
        <f t="shared" si="39"/>
        <v>0.01866025403784439</v>
      </c>
      <c r="BA90">
        <f t="shared" si="40"/>
        <v>-0.03732050807568878</v>
      </c>
      <c r="BB90">
        <f t="shared" si="41"/>
        <v>0</v>
      </c>
      <c r="BC90">
        <f t="shared" si="42"/>
        <v>0</v>
      </c>
      <c r="BD90">
        <f t="shared" si="43"/>
        <v>0</v>
      </c>
      <c r="BE90">
        <f t="shared" si="44"/>
        <v>0</v>
      </c>
      <c r="BF90">
        <f t="shared" si="47"/>
        <v>0</v>
      </c>
      <c r="BG90">
        <f t="shared" si="45"/>
        <v>1</v>
      </c>
    </row>
    <row r="91" spans="1:59" ht="12.75">
      <c r="A91" s="34"/>
      <c r="B91" s="5"/>
      <c r="C91" s="5"/>
      <c r="D91" s="8"/>
      <c r="E91" s="5"/>
      <c r="F91" s="58"/>
      <c r="G91" s="338">
        <f>IF(F62&gt;0,AE18*0.95,)</f>
        <v>0</v>
      </c>
      <c r="H91" s="339" t="s">
        <v>182</v>
      </c>
      <c r="I91" s="292"/>
      <c r="J91" s="256"/>
      <c r="K91" s="1"/>
      <c r="AS91" s="232"/>
      <c r="AY91">
        <f t="shared" si="46"/>
        <v>1</v>
      </c>
      <c r="AZ91">
        <f t="shared" si="39"/>
        <v>0.01866025403784439</v>
      </c>
      <c r="BA91">
        <f t="shared" si="40"/>
        <v>-0.03732050807568878</v>
      </c>
      <c r="BB91">
        <f t="shared" si="41"/>
        <v>0</v>
      </c>
      <c r="BC91">
        <f t="shared" si="42"/>
        <v>0</v>
      </c>
      <c r="BD91">
        <f t="shared" si="43"/>
        <v>0</v>
      </c>
      <c r="BE91">
        <f t="shared" si="44"/>
        <v>0</v>
      </c>
      <c r="BF91">
        <f t="shared" si="47"/>
        <v>0</v>
      </c>
      <c r="BG91">
        <f t="shared" si="45"/>
        <v>1</v>
      </c>
    </row>
    <row r="92" spans="1:59" ht="13.5" thickBot="1">
      <c r="A92" s="45"/>
      <c r="B92" s="46"/>
      <c r="C92" s="46"/>
      <c r="D92" s="46"/>
      <c r="E92" s="46"/>
      <c r="F92" s="70"/>
      <c r="G92" s="301"/>
      <c r="H92" s="7"/>
      <c r="I92" s="5"/>
      <c r="J92" s="5"/>
      <c r="K92" s="1"/>
      <c r="AS92" s="232"/>
      <c r="AY92">
        <f t="shared" si="46"/>
        <v>1</v>
      </c>
      <c r="AZ92">
        <f t="shared" si="39"/>
        <v>0.01866025403784439</v>
      </c>
      <c r="BA92">
        <f t="shared" si="40"/>
        <v>-0.03732050807568878</v>
      </c>
      <c r="BB92">
        <f t="shared" si="41"/>
        <v>0</v>
      </c>
      <c r="BC92">
        <f t="shared" si="42"/>
        <v>0</v>
      </c>
      <c r="BD92">
        <f t="shared" si="43"/>
        <v>0</v>
      </c>
      <c r="BE92">
        <f t="shared" si="44"/>
        <v>0</v>
      </c>
      <c r="BF92">
        <f t="shared" si="47"/>
        <v>0</v>
      </c>
      <c r="BG92">
        <f t="shared" si="45"/>
        <v>1</v>
      </c>
    </row>
    <row r="93" spans="1:59" ht="13.5" thickTop="1">
      <c r="A93" s="1"/>
      <c r="B93" s="7"/>
      <c r="C93" s="7"/>
      <c r="D93" s="7"/>
      <c r="E93" s="7"/>
      <c r="F93" s="7"/>
      <c r="G93" s="7"/>
      <c r="H93" s="7"/>
      <c r="I93" s="5"/>
      <c r="J93" s="5"/>
      <c r="K93" s="1"/>
      <c r="AS93" s="232"/>
      <c r="AY93">
        <f t="shared" si="46"/>
        <v>1</v>
      </c>
      <c r="AZ93">
        <f t="shared" si="39"/>
        <v>0.01866025403784439</v>
      </c>
      <c r="BA93">
        <f t="shared" si="40"/>
        <v>-0.03732050807568878</v>
      </c>
      <c r="BB93">
        <f t="shared" si="41"/>
        <v>0</v>
      </c>
      <c r="BC93">
        <f t="shared" si="42"/>
        <v>0</v>
      </c>
      <c r="BD93">
        <f t="shared" si="43"/>
        <v>0</v>
      </c>
      <c r="BE93">
        <f t="shared" si="44"/>
        <v>0</v>
      </c>
      <c r="BF93">
        <f t="shared" si="47"/>
        <v>0</v>
      </c>
      <c r="BG93">
        <f t="shared" si="45"/>
        <v>1</v>
      </c>
    </row>
    <row r="94" spans="1:59" ht="12.75">
      <c r="A94" s="1"/>
      <c r="B94" s="7"/>
      <c r="C94" s="7"/>
      <c r="D94" s="7"/>
      <c r="E94" s="7"/>
      <c r="F94" s="7"/>
      <c r="G94" s="7"/>
      <c r="H94" s="1"/>
      <c r="K94" s="1"/>
      <c r="AS94" s="232"/>
      <c r="AY94">
        <f t="shared" si="46"/>
        <v>1</v>
      </c>
      <c r="AZ94">
        <f t="shared" si="39"/>
        <v>0.01866025403784439</v>
      </c>
      <c r="BA94">
        <f t="shared" si="40"/>
        <v>-0.03732050807568878</v>
      </c>
      <c r="BB94">
        <f t="shared" si="41"/>
        <v>0</v>
      </c>
      <c r="BC94">
        <f t="shared" si="42"/>
        <v>0</v>
      </c>
      <c r="BD94">
        <f t="shared" si="43"/>
        <v>0</v>
      </c>
      <c r="BE94">
        <f t="shared" si="44"/>
        <v>0</v>
      </c>
      <c r="BF94">
        <f t="shared" si="47"/>
        <v>0</v>
      </c>
      <c r="BG94">
        <f t="shared" si="45"/>
        <v>1</v>
      </c>
    </row>
    <row r="95" spans="1:59" ht="24" customHeight="1">
      <c r="A95" s="1"/>
      <c r="B95" s="7"/>
      <c r="C95" s="7"/>
      <c r="D95" s="7"/>
      <c r="E95" s="7"/>
      <c r="F95" s="7"/>
      <c r="G95" s="7"/>
      <c r="H95" s="1"/>
      <c r="K95" s="1"/>
      <c r="L95" s="1"/>
      <c r="M95" s="1"/>
      <c r="AS95" s="232"/>
      <c r="AY95">
        <f t="shared" si="46"/>
        <v>1</v>
      </c>
      <c r="AZ95">
        <f t="shared" si="39"/>
        <v>0.01866025403784439</v>
      </c>
      <c r="BA95">
        <f t="shared" si="40"/>
        <v>-0.03732050807568878</v>
      </c>
      <c r="BB95">
        <f t="shared" si="41"/>
        <v>0</v>
      </c>
      <c r="BC95">
        <f t="shared" si="42"/>
        <v>0</v>
      </c>
      <c r="BD95">
        <f t="shared" si="43"/>
        <v>0</v>
      </c>
      <c r="BE95">
        <f t="shared" si="44"/>
        <v>0</v>
      </c>
      <c r="BF95">
        <f t="shared" si="47"/>
        <v>0</v>
      </c>
      <c r="BG95">
        <f t="shared" si="45"/>
        <v>1</v>
      </c>
    </row>
    <row r="96" spans="1:59" ht="24" customHeight="1">
      <c r="A96" s="1"/>
      <c r="B96" s="7"/>
      <c r="C96" s="7"/>
      <c r="D96" s="7"/>
      <c r="E96" s="7"/>
      <c r="F96" s="7"/>
      <c r="G96" s="7"/>
      <c r="H96" s="1"/>
      <c r="K96" s="1"/>
      <c r="L96" s="1"/>
      <c r="M96" s="1"/>
      <c r="AS96" s="232"/>
      <c r="AY96">
        <f t="shared" si="46"/>
        <v>1</v>
      </c>
      <c r="AZ96">
        <f t="shared" si="39"/>
        <v>0.01866025403784439</v>
      </c>
      <c r="BA96">
        <f t="shared" si="40"/>
        <v>-0.03732050807568878</v>
      </c>
      <c r="BB96">
        <f t="shared" si="41"/>
        <v>0</v>
      </c>
      <c r="BC96">
        <f t="shared" si="42"/>
        <v>0</v>
      </c>
      <c r="BD96">
        <f t="shared" si="43"/>
        <v>0</v>
      </c>
      <c r="BE96">
        <f t="shared" si="44"/>
        <v>0</v>
      </c>
      <c r="BF96">
        <f t="shared" si="47"/>
        <v>0</v>
      </c>
      <c r="BG96">
        <f t="shared" si="45"/>
        <v>1</v>
      </c>
    </row>
    <row r="97" spans="1:59" ht="12.75">
      <c r="A97" s="1"/>
      <c r="B97" s="7"/>
      <c r="C97" s="7"/>
      <c r="D97" s="7"/>
      <c r="E97" s="7"/>
      <c r="F97" s="7"/>
      <c r="G97" s="7"/>
      <c r="H97" s="1"/>
      <c r="K97" s="1"/>
      <c r="L97" s="1"/>
      <c r="M97" s="1"/>
      <c r="AS97" s="232"/>
      <c r="AY97">
        <f t="shared" si="46"/>
        <v>1</v>
      </c>
      <c r="AZ97">
        <f t="shared" si="39"/>
        <v>0.01866025403784439</v>
      </c>
      <c r="BA97">
        <f t="shared" si="40"/>
        <v>-0.03732050807568878</v>
      </c>
      <c r="BB97">
        <f t="shared" si="41"/>
        <v>0</v>
      </c>
      <c r="BC97">
        <f t="shared" si="42"/>
        <v>0</v>
      </c>
      <c r="BD97">
        <f t="shared" si="43"/>
        <v>0</v>
      </c>
      <c r="BE97">
        <f t="shared" si="44"/>
        <v>0</v>
      </c>
      <c r="BF97">
        <f t="shared" si="47"/>
        <v>0</v>
      </c>
      <c r="BG97">
        <f t="shared" si="45"/>
        <v>1</v>
      </c>
    </row>
    <row r="98" spans="1:59" ht="12.75">
      <c r="A98" s="1"/>
      <c r="B98" s="7"/>
      <c r="C98" s="7"/>
      <c r="D98" s="7"/>
      <c r="E98" s="7"/>
      <c r="F98" s="7"/>
      <c r="G98" s="7"/>
      <c r="H98" s="1"/>
      <c r="K98" s="1"/>
      <c r="L98" s="1"/>
      <c r="M98" s="1"/>
      <c r="AS98" s="232"/>
      <c r="AY98">
        <f t="shared" si="46"/>
        <v>1</v>
      </c>
      <c r="AZ98">
        <f t="shared" si="39"/>
        <v>0.01866025403784439</v>
      </c>
      <c r="BA98">
        <f t="shared" si="40"/>
        <v>-0.03732050807568878</v>
      </c>
      <c r="BB98">
        <f t="shared" si="41"/>
        <v>0</v>
      </c>
      <c r="BC98">
        <f t="shared" si="42"/>
        <v>0</v>
      </c>
      <c r="BD98">
        <f t="shared" si="43"/>
        <v>0</v>
      </c>
      <c r="BE98">
        <f t="shared" si="44"/>
        <v>0</v>
      </c>
      <c r="BF98">
        <f t="shared" si="47"/>
        <v>0</v>
      </c>
      <c r="BG98">
        <f t="shared" si="45"/>
        <v>1</v>
      </c>
    </row>
    <row r="99" spans="1:59" ht="12.75">
      <c r="A99" s="1"/>
      <c r="B99" s="7"/>
      <c r="C99" s="7"/>
      <c r="D99" s="7"/>
      <c r="E99" s="7"/>
      <c r="F99" s="7"/>
      <c r="G99" s="7"/>
      <c r="H99" s="1"/>
      <c r="K99" s="1"/>
      <c r="L99" s="1"/>
      <c r="M99" s="1"/>
      <c r="AS99" s="232"/>
      <c r="AY99">
        <f t="shared" si="46"/>
        <v>1</v>
      </c>
      <c r="AZ99">
        <f t="shared" si="39"/>
        <v>0.01866025403784439</v>
      </c>
      <c r="BA99">
        <f t="shared" si="40"/>
        <v>-0.03732050807568878</v>
      </c>
      <c r="BB99">
        <f t="shared" si="41"/>
        <v>0</v>
      </c>
      <c r="BC99">
        <f t="shared" si="42"/>
        <v>0</v>
      </c>
      <c r="BD99">
        <f t="shared" si="43"/>
        <v>0</v>
      </c>
      <c r="BE99">
        <f t="shared" si="44"/>
        <v>0</v>
      </c>
      <c r="BF99">
        <f t="shared" si="47"/>
        <v>0</v>
      </c>
      <c r="BG99">
        <f t="shared" si="45"/>
        <v>1</v>
      </c>
    </row>
    <row r="100" spans="1:59" ht="12.75">
      <c r="A100" s="1"/>
      <c r="B100" s="7"/>
      <c r="C100" s="7"/>
      <c r="D100" s="7"/>
      <c r="E100" s="7"/>
      <c r="F100" s="7"/>
      <c r="G100" s="7"/>
      <c r="H100" s="1"/>
      <c r="K100" s="1"/>
      <c r="L100" s="1"/>
      <c r="M100" s="1"/>
      <c r="AS100" s="232"/>
      <c r="AY100">
        <f t="shared" si="46"/>
        <v>1</v>
      </c>
      <c r="AZ100">
        <f t="shared" si="39"/>
        <v>0.01866025403784439</v>
      </c>
      <c r="BA100">
        <f t="shared" si="40"/>
        <v>-0.03732050807568878</v>
      </c>
      <c r="BB100">
        <f t="shared" si="41"/>
        <v>0</v>
      </c>
      <c r="BC100">
        <f t="shared" si="42"/>
        <v>0</v>
      </c>
      <c r="BD100">
        <f t="shared" si="43"/>
        <v>0</v>
      </c>
      <c r="BE100">
        <f t="shared" si="44"/>
        <v>0</v>
      </c>
      <c r="BF100">
        <f t="shared" si="47"/>
        <v>0</v>
      </c>
      <c r="BG100">
        <f t="shared" si="45"/>
        <v>1</v>
      </c>
    </row>
    <row r="101" spans="1:59" ht="12.75">
      <c r="A101" s="1"/>
      <c r="B101" s="7"/>
      <c r="C101" s="7"/>
      <c r="D101" s="7"/>
      <c r="E101" s="7"/>
      <c r="F101" s="7"/>
      <c r="G101" s="7"/>
      <c r="H101" s="1"/>
      <c r="K101" s="1"/>
      <c r="L101" s="1"/>
      <c r="M101" s="1"/>
      <c r="AS101" s="232"/>
      <c r="AY101">
        <f t="shared" si="46"/>
        <v>1</v>
      </c>
      <c r="AZ101">
        <f t="shared" si="39"/>
        <v>0.01866025403784439</v>
      </c>
      <c r="BA101">
        <f t="shared" si="40"/>
        <v>-0.03732050807568878</v>
      </c>
      <c r="BB101">
        <f t="shared" si="41"/>
        <v>0</v>
      </c>
      <c r="BC101">
        <f t="shared" si="42"/>
        <v>0</v>
      </c>
      <c r="BD101">
        <f t="shared" si="43"/>
        <v>0</v>
      </c>
      <c r="BE101">
        <f t="shared" si="44"/>
        <v>0</v>
      </c>
      <c r="BF101">
        <f t="shared" si="47"/>
        <v>0</v>
      </c>
      <c r="BG101">
        <f t="shared" si="45"/>
        <v>1</v>
      </c>
    </row>
    <row r="102" spans="1:59" ht="12.75">
      <c r="A102" s="1"/>
      <c r="B102" s="7"/>
      <c r="C102" s="7"/>
      <c r="D102" s="7"/>
      <c r="E102" s="7"/>
      <c r="F102" s="7"/>
      <c r="G102" s="7"/>
      <c r="H102" s="1"/>
      <c r="K102" s="1"/>
      <c r="L102" s="1"/>
      <c r="M102" s="1"/>
      <c r="AS102" s="232"/>
      <c r="AY102">
        <f t="shared" si="46"/>
        <v>1</v>
      </c>
      <c r="AZ102">
        <f t="shared" si="39"/>
        <v>0.01866025403784439</v>
      </c>
      <c r="BA102">
        <f t="shared" si="40"/>
        <v>-0.03732050807568878</v>
      </c>
      <c r="BB102">
        <f t="shared" si="41"/>
        <v>0</v>
      </c>
      <c r="BC102">
        <f t="shared" si="42"/>
        <v>0</v>
      </c>
      <c r="BD102">
        <f t="shared" si="43"/>
        <v>0</v>
      </c>
      <c r="BE102">
        <f t="shared" si="44"/>
        <v>0</v>
      </c>
      <c r="BF102">
        <f t="shared" si="47"/>
        <v>0</v>
      </c>
      <c r="BG102">
        <f t="shared" si="45"/>
        <v>1</v>
      </c>
    </row>
    <row r="103" spans="1:59" ht="12.75">
      <c r="A103" s="1"/>
      <c r="B103" s="7"/>
      <c r="C103" s="7"/>
      <c r="D103" s="7"/>
      <c r="E103" s="7"/>
      <c r="F103" s="7"/>
      <c r="G103" s="7"/>
      <c r="H103" s="1"/>
      <c r="K103" s="1"/>
      <c r="L103" s="1"/>
      <c r="M103" s="1"/>
      <c r="AS103" s="232"/>
      <c r="AY103">
        <f t="shared" si="46"/>
        <v>1</v>
      </c>
      <c r="AZ103">
        <f aca="true" t="shared" si="50" ref="AZ103:AZ134">(AY103/100-0.005)/TAN($AZ$4*PI()/180)</f>
        <v>0.01866025403784439</v>
      </c>
      <c r="BA103">
        <f aca="true" t="shared" si="51" ref="BA103:BA134">$AZ$1-2*AZ103</f>
        <v>-0.03732050807568878</v>
      </c>
      <c r="BB103">
        <f aca="true" t="shared" si="52" ref="BB103:BB134">IF($AZ$5/BA103&lt;0.5,$AZ$5/BA103,0.5)</f>
        <v>0</v>
      </c>
      <c r="BC103">
        <f aca="true" t="shared" si="53" ref="BC103:BC134">IF(BF103+BG103=2,3.1316*BB103^4-1.453*BB103^3+0.5868*BB103^2-1.3257*BB103+0.5,0)</f>
        <v>0</v>
      </c>
      <c r="BD103">
        <f aca="true" t="shared" si="54" ref="BD103:BD134">IF(BF103+BG103=2,(PI()*BA103^2/4),0)*0.01</f>
        <v>0</v>
      </c>
      <c r="BE103">
        <f aca="true" t="shared" si="55" ref="BE103:BE134">BD103*BC103</f>
        <v>0</v>
      </c>
      <c r="BF103">
        <f t="shared" si="47"/>
        <v>0</v>
      </c>
      <c r="BG103">
        <f aca="true" t="shared" si="56" ref="BG103:BG134">IF(BB103=0.5,0,1)</f>
        <v>1</v>
      </c>
    </row>
    <row r="104" spans="1:59" ht="12.75">
      <c r="A104" s="1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AS104" s="232"/>
      <c r="AY104">
        <f aca="true" t="shared" si="57" ref="AY104:AY135">IF(BA103-($AZ$1/4)&gt;0,AY103+1,AY103)</f>
        <v>1</v>
      </c>
      <c r="AZ104">
        <f t="shared" si="50"/>
        <v>0.01866025403784439</v>
      </c>
      <c r="BA104">
        <f t="shared" si="51"/>
        <v>-0.03732050807568878</v>
      </c>
      <c r="BB104">
        <f t="shared" si="52"/>
        <v>0</v>
      </c>
      <c r="BC104">
        <f t="shared" si="53"/>
        <v>0</v>
      </c>
      <c r="BD104">
        <f t="shared" si="54"/>
        <v>0</v>
      </c>
      <c r="BE104">
        <f t="shared" si="55"/>
        <v>0</v>
      </c>
      <c r="BF104">
        <f aca="true" t="shared" si="58" ref="BF104:BF135">AY104-AY103</f>
        <v>0</v>
      </c>
      <c r="BG104">
        <f t="shared" si="56"/>
        <v>1</v>
      </c>
    </row>
    <row r="105" spans="1:59" ht="12.75">
      <c r="A105" s="1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AS105" s="232"/>
      <c r="AY105">
        <f t="shared" si="57"/>
        <v>1</v>
      </c>
      <c r="AZ105">
        <f t="shared" si="50"/>
        <v>0.01866025403784439</v>
      </c>
      <c r="BA105">
        <f t="shared" si="51"/>
        <v>-0.03732050807568878</v>
      </c>
      <c r="BB105">
        <f t="shared" si="52"/>
        <v>0</v>
      </c>
      <c r="BC105">
        <f t="shared" si="53"/>
        <v>0</v>
      </c>
      <c r="BD105">
        <f t="shared" si="54"/>
        <v>0</v>
      </c>
      <c r="BE105">
        <f t="shared" si="55"/>
        <v>0</v>
      </c>
      <c r="BF105">
        <f t="shared" si="58"/>
        <v>0</v>
      </c>
      <c r="BG105">
        <f t="shared" si="56"/>
        <v>1</v>
      </c>
    </row>
    <row r="106" spans="1:59" ht="12.75">
      <c r="A106" s="1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AS106" s="232"/>
      <c r="AY106">
        <f t="shared" si="57"/>
        <v>1</v>
      </c>
      <c r="AZ106">
        <f t="shared" si="50"/>
        <v>0.01866025403784439</v>
      </c>
      <c r="BA106">
        <f t="shared" si="51"/>
        <v>-0.03732050807568878</v>
      </c>
      <c r="BB106">
        <f t="shared" si="52"/>
        <v>0</v>
      </c>
      <c r="BC106">
        <f t="shared" si="53"/>
        <v>0</v>
      </c>
      <c r="BD106">
        <f t="shared" si="54"/>
        <v>0</v>
      </c>
      <c r="BE106">
        <f t="shared" si="55"/>
        <v>0</v>
      </c>
      <c r="BF106">
        <f t="shared" si="58"/>
        <v>0</v>
      </c>
      <c r="BG106">
        <f t="shared" si="56"/>
        <v>1</v>
      </c>
    </row>
    <row r="107" spans="1:59" ht="12.75">
      <c r="A107" s="1"/>
      <c r="B107" s="1"/>
      <c r="C107" s="1"/>
      <c r="D107" s="1"/>
      <c r="E107" s="1"/>
      <c r="F107" s="1"/>
      <c r="G107" s="7"/>
      <c r="H107" s="1"/>
      <c r="I107" s="1"/>
      <c r="J107" s="1"/>
      <c r="K107" s="1"/>
      <c r="L107" s="1"/>
      <c r="M107" s="1"/>
      <c r="AS107" s="232"/>
      <c r="AY107">
        <f t="shared" si="57"/>
        <v>1</v>
      </c>
      <c r="AZ107">
        <f t="shared" si="50"/>
        <v>0.01866025403784439</v>
      </c>
      <c r="BA107">
        <f t="shared" si="51"/>
        <v>-0.03732050807568878</v>
      </c>
      <c r="BB107">
        <f t="shared" si="52"/>
        <v>0</v>
      </c>
      <c r="BC107">
        <f t="shared" si="53"/>
        <v>0</v>
      </c>
      <c r="BD107">
        <f t="shared" si="54"/>
        <v>0</v>
      </c>
      <c r="BE107">
        <f t="shared" si="55"/>
        <v>0</v>
      </c>
      <c r="BF107">
        <f t="shared" si="58"/>
        <v>0</v>
      </c>
      <c r="BG107">
        <f t="shared" si="56"/>
        <v>1</v>
      </c>
    </row>
    <row r="108" spans="1:59" ht="12.75">
      <c r="A108" s="1"/>
      <c r="B108" s="1"/>
      <c r="C108" s="1"/>
      <c r="D108" s="1"/>
      <c r="E108" s="1"/>
      <c r="F108" s="1"/>
      <c r="G108" s="7"/>
      <c r="H108" s="1"/>
      <c r="I108" s="1"/>
      <c r="J108" s="1"/>
      <c r="K108" s="1"/>
      <c r="L108" s="1"/>
      <c r="M108" s="1"/>
      <c r="AS108" s="232"/>
      <c r="AY108">
        <f t="shared" si="57"/>
        <v>1</v>
      </c>
      <c r="AZ108">
        <f t="shared" si="50"/>
        <v>0.01866025403784439</v>
      </c>
      <c r="BA108">
        <f t="shared" si="51"/>
        <v>-0.03732050807568878</v>
      </c>
      <c r="BB108">
        <f t="shared" si="52"/>
        <v>0</v>
      </c>
      <c r="BC108">
        <f t="shared" si="53"/>
        <v>0</v>
      </c>
      <c r="BD108">
        <f t="shared" si="54"/>
        <v>0</v>
      </c>
      <c r="BE108">
        <f t="shared" si="55"/>
        <v>0</v>
      </c>
      <c r="BF108">
        <f t="shared" si="58"/>
        <v>0</v>
      </c>
      <c r="BG108">
        <f t="shared" si="56"/>
        <v>1</v>
      </c>
    </row>
    <row r="109" spans="1:59" ht="12.75">
      <c r="A109" s="1"/>
      <c r="B109" s="1"/>
      <c r="C109" s="1"/>
      <c r="D109" s="1"/>
      <c r="E109" s="1"/>
      <c r="F109" s="1"/>
      <c r="G109" s="7"/>
      <c r="H109" s="1"/>
      <c r="I109" s="1"/>
      <c r="J109" s="1"/>
      <c r="K109" s="1"/>
      <c r="L109" s="1"/>
      <c r="M109" s="1"/>
      <c r="AS109" s="232"/>
      <c r="AY109">
        <f t="shared" si="57"/>
        <v>1</v>
      </c>
      <c r="AZ109">
        <f t="shared" si="50"/>
        <v>0.01866025403784439</v>
      </c>
      <c r="BA109">
        <f t="shared" si="51"/>
        <v>-0.03732050807568878</v>
      </c>
      <c r="BB109">
        <f t="shared" si="52"/>
        <v>0</v>
      </c>
      <c r="BC109">
        <f t="shared" si="53"/>
        <v>0</v>
      </c>
      <c r="BD109">
        <f t="shared" si="54"/>
        <v>0</v>
      </c>
      <c r="BE109">
        <f t="shared" si="55"/>
        <v>0</v>
      </c>
      <c r="BF109">
        <f t="shared" si="58"/>
        <v>0</v>
      </c>
      <c r="BG109">
        <f t="shared" si="56"/>
        <v>1</v>
      </c>
    </row>
    <row r="110" spans="1:5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AS110" s="232"/>
      <c r="AY110">
        <f t="shared" si="57"/>
        <v>1</v>
      </c>
      <c r="AZ110">
        <f t="shared" si="50"/>
        <v>0.01866025403784439</v>
      </c>
      <c r="BA110">
        <f t="shared" si="51"/>
        <v>-0.03732050807568878</v>
      </c>
      <c r="BB110">
        <f t="shared" si="52"/>
        <v>0</v>
      </c>
      <c r="BC110">
        <f t="shared" si="53"/>
        <v>0</v>
      </c>
      <c r="BD110">
        <f t="shared" si="54"/>
        <v>0</v>
      </c>
      <c r="BE110">
        <f t="shared" si="55"/>
        <v>0</v>
      </c>
      <c r="BF110">
        <f t="shared" si="58"/>
        <v>0</v>
      </c>
      <c r="BG110">
        <f t="shared" si="56"/>
        <v>1</v>
      </c>
    </row>
    <row r="111" spans="1:5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AS111" s="232"/>
      <c r="AY111">
        <f t="shared" si="57"/>
        <v>1</v>
      </c>
      <c r="AZ111">
        <f t="shared" si="50"/>
        <v>0.01866025403784439</v>
      </c>
      <c r="BA111">
        <f t="shared" si="51"/>
        <v>-0.03732050807568878</v>
      </c>
      <c r="BB111">
        <f t="shared" si="52"/>
        <v>0</v>
      </c>
      <c r="BC111">
        <f t="shared" si="53"/>
        <v>0</v>
      </c>
      <c r="BD111">
        <f t="shared" si="54"/>
        <v>0</v>
      </c>
      <c r="BE111">
        <f t="shared" si="55"/>
        <v>0</v>
      </c>
      <c r="BF111">
        <f t="shared" si="58"/>
        <v>0</v>
      </c>
      <c r="BG111">
        <f t="shared" si="56"/>
        <v>1</v>
      </c>
    </row>
    <row r="112" spans="1:5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AS112" s="232"/>
      <c r="AY112">
        <f t="shared" si="57"/>
        <v>1</v>
      </c>
      <c r="AZ112">
        <f t="shared" si="50"/>
        <v>0.01866025403784439</v>
      </c>
      <c r="BA112">
        <f t="shared" si="51"/>
        <v>-0.03732050807568878</v>
      </c>
      <c r="BB112">
        <f t="shared" si="52"/>
        <v>0</v>
      </c>
      <c r="BC112">
        <f t="shared" si="53"/>
        <v>0</v>
      </c>
      <c r="BD112">
        <f t="shared" si="54"/>
        <v>0</v>
      </c>
      <c r="BE112">
        <f t="shared" si="55"/>
        <v>0</v>
      </c>
      <c r="BF112">
        <f t="shared" si="58"/>
        <v>0</v>
      </c>
      <c r="BG112">
        <f t="shared" si="56"/>
        <v>1</v>
      </c>
    </row>
    <row r="113" spans="1:5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AS113" s="232"/>
      <c r="AY113">
        <f t="shared" si="57"/>
        <v>1</v>
      </c>
      <c r="AZ113">
        <f t="shared" si="50"/>
        <v>0.01866025403784439</v>
      </c>
      <c r="BA113">
        <f t="shared" si="51"/>
        <v>-0.03732050807568878</v>
      </c>
      <c r="BB113">
        <f t="shared" si="52"/>
        <v>0</v>
      </c>
      <c r="BC113">
        <f t="shared" si="53"/>
        <v>0</v>
      </c>
      <c r="BD113">
        <f t="shared" si="54"/>
        <v>0</v>
      </c>
      <c r="BE113">
        <f t="shared" si="55"/>
        <v>0</v>
      </c>
      <c r="BF113">
        <f t="shared" si="58"/>
        <v>0</v>
      </c>
      <c r="BG113">
        <f t="shared" si="56"/>
        <v>1</v>
      </c>
    </row>
    <row r="114" spans="1:5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AS114" s="232"/>
      <c r="AY114">
        <f t="shared" si="57"/>
        <v>1</v>
      </c>
      <c r="AZ114">
        <f t="shared" si="50"/>
        <v>0.01866025403784439</v>
      </c>
      <c r="BA114">
        <f t="shared" si="51"/>
        <v>-0.03732050807568878</v>
      </c>
      <c r="BB114">
        <f t="shared" si="52"/>
        <v>0</v>
      </c>
      <c r="BC114">
        <f t="shared" si="53"/>
        <v>0</v>
      </c>
      <c r="BD114">
        <f t="shared" si="54"/>
        <v>0</v>
      </c>
      <c r="BE114">
        <f t="shared" si="55"/>
        <v>0</v>
      </c>
      <c r="BF114">
        <f t="shared" si="58"/>
        <v>0</v>
      </c>
      <c r="BG114">
        <f t="shared" si="56"/>
        <v>1</v>
      </c>
    </row>
    <row r="115" spans="1:5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AS115" s="232"/>
      <c r="AY115">
        <f t="shared" si="57"/>
        <v>1</v>
      </c>
      <c r="AZ115">
        <f t="shared" si="50"/>
        <v>0.01866025403784439</v>
      </c>
      <c r="BA115">
        <f t="shared" si="51"/>
        <v>-0.03732050807568878</v>
      </c>
      <c r="BB115">
        <f t="shared" si="52"/>
        <v>0</v>
      </c>
      <c r="BC115">
        <f t="shared" si="53"/>
        <v>0</v>
      </c>
      <c r="BD115">
        <f t="shared" si="54"/>
        <v>0</v>
      </c>
      <c r="BE115">
        <f t="shared" si="55"/>
        <v>0</v>
      </c>
      <c r="BF115">
        <f t="shared" si="58"/>
        <v>0</v>
      </c>
      <c r="BG115">
        <f t="shared" si="56"/>
        <v>1</v>
      </c>
    </row>
    <row r="116" spans="1:5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AS116" s="232"/>
      <c r="AY116">
        <f t="shared" si="57"/>
        <v>1</v>
      </c>
      <c r="AZ116">
        <f t="shared" si="50"/>
        <v>0.01866025403784439</v>
      </c>
      <c r="BA116">
        <f t="shared" si="51"/>
        <v>-0.03732050807568878</v>
      </c>
      <c r="BB116">
        <f t="shared" si="52"/>
        <v>0</v>
      </c>
      <c r="BC116">
        <f t="shared" si="53"/>
        <v>0</v>
      </c>
      <c r="BD116">
        <f t="shared" si="54"/>
        <v>0</v>
      </c>
      <c r="BE116">
        <f t="shared" si="55"/>
        <v>0</v>
      </c>
      <c r="BF116">
        <f t="shared" si="58"/>
        <v>0</v>
      </c>
      <c r="BG116">
        <f t="shared" si="56"/>
        <v>1</v>
      </c>
    </row>
    <row r="117" spans="1:5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AS117" s="232"/>
      <c r="AY117">
        <f t="shared" si="57"/>
        <v>1</v>
      </c>
      <c r="AZ117">
        <f t="shared" si="50"/>
        <v>0.01866025403784439</v>
      </c>
      <c r="BA117">
        <f t="shared" si="51"/>
        <v>-0.03732050807568878</v>
      </c>
      <c r="BB117">
        <f t="shared" si="52"/>
        <v>0</v>
      </c>
      <c r="BC117">
        <f t="shared" si="53"/>
        <v>0</v>
      </c>
      <c r="BD117">
        <f t="shared" si="54"/>
        <v>0</v>
      </c>
      <c r="BE117">
        <f t="shared" si="55"/>
        <v>0</v>
      </c>
      <c r="BF117">
        <f t="shared" si="58"/>
        <v>0</v>
      </c>
      <c r="BG117">
        <f t="shared" si="56"/>
        <v>1</v>
      </c>
    </row>
    <row r="118" spans="1:5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AS118" s="232"/>
      <c r="AY118">
        <f t="shared" si="57"/>
        <v>1</v>
      </c>
      <c r="AZ118">
        <f t="shared" si="50"/>
        <v>0.01866025403784439</v>
      </c>
      <c r="BA118">
        <f t="shared" si="51"/>
        <v>-0.03732050807568878</v>
      </c>
      <c r="BB118">
        <f t="shared" si="52"/>
        <v>0</v>
      </c>
      <c r="BC118">
        <f t="shared" si="53"/>
        <v>0</v>
      </c>
      <c r="BD118">
        <f t="shared" si="54"/>
        <v>0</v>
      </c>
      <c r="BE118">
        <f t="shared" si="55"/>
        <v>0</v>
      </c>
      <c r="BF118">
        <f t="shared" si="58"/>
        <v>0</v>
      </c>
      <c r="BG118">
        <f t="shared" si="56"/>
        <v>1</v>
      </c>
    </row>
    <row r="119" spans="1:5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AS119" s="232"/>
      <c r="AY119">
        <f t="shared" si="57"/>
        <v>1</v>
      </c>
      <c r="AZ119">
        <f t="shared" si="50"/>
        <v>0.01866025403784439</v>
      </c>
      <c r="BA119">
        <f t="shared" si="51"/>
        <v>-0.03732050807568878</v>
      </c>
      <c r="BB119">
        <f t="shared" si="52"/>
        <v>0</v>
      </c>
      <c r="BC119">
        <f t="shared" si="53"/>
        <v>0</v>
      </c>
      <c r="BD119">
        <f t="shared" si="54"/>
        <v>0</v>
      </c>
      <c r="BE119">
        <f t="shared" si="55"/>
        <v>0</v>
      </c>
      <c r="BF119">
        <f t="shared" si="58"/>
        <v>0</v>
      </c>
      <c r="BG119">
        <f t="shared" si="56"/>
        <v>1</v>
      </c>
    </row>
    <row r="120" spans="1:5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AS120" s="232"/>
      <c r="AY120">
        <f t="shared" si="57"/>
        <v>1</v>
      </c>
      <c r="AZ120">
        <f t="shared" si="50"/>
        <v>0.01866025403784439</v>
      </c>
      <c r="BA120">
        <f t="shared" si="51"/>
        <v>-0.03732050807568878</v>
      </c>
      <c r="BB120">
        <f t="shared" si="52"/>
        <v>0</v>
      </c>
      <c r="BC120">
        <f t="shared" si="53"/>
        <v>0</v>
      </c>
      <c r="BD120">
        <f t="shared" si="54"/>
        <v>0</v>
      </c>
      <c r="BE120">
        <f t="shared" si="55"/>
        <v>0</v>
      </c>
      <c r="BF120">
        <f t="shared" si="58"/>
        <v>0</v>
      </c>
      <c r="BG120">
        <f t="shared" si="56"/>
        <v>1</v>
      </c>
    </row>
    <row r="121" spans="7:59" ht="12.75">
      <c r="G121" s="1"/>
      <c r="H121" s="1"/>
      <c r="I121" s="1"/>
      <c r="J121" s="1"/>
      <c r="K121" s="1"/>
      <c r="L121" s="1"/>
      <c r="M121" s="1"/>
      <c r="AS121" s="232"/>
      <c r="AY121">
        <f t="shared" si="57"/>
        <v>1</v>
      </c>
      <c r="AZ121">
        <f t="shared" si="50"/>
        <v>0.01866025403784439</v>
      </c>
      <c r="BA121">
        <f t="shared" si="51"/>
        <v>-0.03732050807568878</v>
      </c>
      <c r="BB121">
        <f t="shared" si="52"/>
        <v>0</v>
      </c>
      <c r="BC121">
        <f t="shared" si="53"/>
        <v>0</v>
      </c>
      <c r="BD121">
        <f t="shared" si="54"/>
        <v>0</v>
      </c>
      <c r="BE121">
        <f t="shared" si="55"/>
        <v>0</v>
      </c>
      <c r="BF121">
        <f t="shared" si="58"/>
        <v>0</v>
      </c>
      <c r="BG121">
        <f t="shared" si="56"/>
        <v>1</v>
      </c>
    </row>
    <row r="122" spans="7:59" ht="12.75">
      <c r="G122" s="1"/>
      <c r="H122" s="1"/>
      <c r="I122" s="1"/>
      <c r="J122" s="1"/>
      <c r="K122" s="1"/>
      <c r="L122" s="1"/>
      <c r="M122" s="1"/>
      <c r="AS122" s="232"/>
      <c r="AY122">
        <f t="shared" si="57"/>
        <v>1</v>
      </c>
      <c r="AZ122">
        <f t="shared" si="50"/>
        <v>0.01866025403784439</v>
      </c>
      <c r="BA122">
        <f t="shared" si="51"/>
        <v>-0.03732050807568878</v>
      </c>
      <c r="BB122">
        <f t="shared" si="52"/>
        <v>0</v>
      </c>
      <c r="BC122">
        <f t="shared" si="53"/>
        <v>0</v>
      </c>
      <c r="BD122">
        <f t="shared" si="54"/>
        <v>0</v>
      </c>
      <c r="BE122">
        <f t="shared" si="55"/>
        <v>0</v>
      </c>
      <c r="BF122">
        <f t="shared" si="58"/>
        <v>0</v>
      </c>
      <c r="BG122">
        <f t="shared" si="56"/>
        <v>1</v>
      </c>
    </row>
    <row r="123" spans="7:59" ht="12.75">
      <c r="G123" s="1"/>
      <c r="H123" s="1"/>
      <c r="I123" s="1"/>
      <c r="J123" s="1"/>
      <c r="K123" s="1"/>
      <c r="L123" s="1"/>
      <c r="M123" s="1"/>
      <c r="AS123" s="232"/>
      <c r="AY123">
        <f t="shared" si="57"/>
        <v>1</v>
      </c>
      <c r="AZ123">
        <f t="shared" si="50"/>
        <v>0.01866025403784439</v>
      </c>
      <c r="BA123">
        <f t="shared" si="51"/>
        <v>-0.03732050807568878</v>
      </c>
      <c r="BB123">
        <f t="shared" si="52"/>
        <v>0</v>
      </c>
      <c r="BC123">
        <f t="shared" si="53"/>
        <v>0</v>
      </c>
      <c r="BD123">
        <f t="shared" si="54"/>
        <v>0</v>
      </c>
      <c r="BE123">
        <f t="shared" si="55"/>
        <v>0</v>
      </c>
      <c r="BF123">
        <f t="shared" si="58"/>
        <v>0</v>
      </c>
      <c r="BG123">
        <f t="shared" si="56"/>
        <v>1</v>
      </c>
    </row>
    <row r="124" spans="15:59" ht="12.75">
      <c r="O124" s="1"/>
      <c r="P124" s="1"/>
      <c r="Q124" s="1"/>
      <c r="AS124" s="232"/>
      <c r="AY124">
        <f t="shared" si="57"/>
        <v>1</v>
      </c>
      <c r="AZ124">
        <f t="shared" si="50"/>
        <v>0.01866025403784439</v>
      </c>
      <c r="BA124">
        <f t="shared" si="51"/>
        <v>-0.03732050807568878</v>
      </c>
      <c r="BB124">
        <f t="shared" si="52"/>
        <v>0</v>
      </c>
      <c r="BC124">
        <f t="shared" si="53"/>
        <v>0</v>
      </c>
      <c r="BD124">
        <f t="shared" si="54"/>
        <v>0</v>
      </c>
      <c r="BE124">
        <f t="shared" si="55"/>
        <v>0</v>
      </c>
      <c r="BF124">
        <f t="shared" si="58"/>
        <v>0</v>
      </c>
      <c r="BG124">
        <f t="shared" si="56"/>
        <v>1</v>
      </c>
    </row>
    <row r="125" spans="45:59" ht="12.75">
      <c r="AS125" s="232"/>
      <c r="AY125">
        <f t="shared" si="57"/>
        <v>1</v>
      </c>
      <c r="AZ125">
        <f t="shared" si="50"/>
        <v>0.01866025403784439</v>
      </c>
      <c r="BA125">
        <f t="shared" si="51"/>
        <v>-0.03732050807568878</v>
      </c>
      <c r="BB125">
        <f t="shared" si="52"/>
        <v>0</v>
      </c>
      <c r="BC125">
        <f t="shared" si="53"/>
        <v>0</v>
      </c>
      <c r="BD125">
        <f t="shared" si="54"/>
        <v>0</v>
      </c>
      <c r="BE125">
        <f t="shared" si="55"/>
        <v>0</v>
      </c>
      <c r="BF125">
        <f t="shared" si="58"/>
        <v>0</v>
      </c>
      <c r="BG125">
        <f t="shared" si="56"/>
        <v>1</v>
      </c>
    </row>
    <row r="126" spans="45:59" ht="12.75">
      <c r="AS126" s="232"/>
      <c r="AY126">
        <f t="shared" si="57"/>
        <v>1</v>
      </c>
      <c r="AZ126">
        <f t="shared" si="50"/>
        <v>0.01866025403784439</v>
      </c>
      <c r="BA126">
        <f t="shared" si="51"/>
        <v>-0.03732050807568878</v>
      </c>
      <c r="BB126">
        <f t="shared" si="52"/>
        <v>0</v>
      </c>
      <c r="BC126">
        <f t="shared" si="53"/>
        <v>0</v>
      </c>
      <c r="BD126">
        <f t="shared" si="54"/>
        <v>0</v>
      </c>
      <c r="BE126">
        <f t="shared" si="55"/>
        <v>0</v>
      </c>
      <c r="BF126">
        <f t="shared" si="58"/>
        <v>0</v>
      </c>
      <c r="BG126">
        <f t="shared" si="56"/>
        <v>1</v>
      </c>
    </row>
    <row r="127" spans="45:59" ht="12.75">
      <c r="AS127" s="232"/>
      <c r="AY127">
        <f t="shared" si="57"/>
        <v>1</v>
      </c>
      <c r="AZ127">
        <f t="shared" si="50"/>
        <v>0.01866025403784439</v>
      </c>
      <c r="BA127">
        <f t="shared" si="51"/>
        <v>-0.03732050807568878</v>
      </c>
      <c r="BB127">
        <f t="shared" si="52"/>
        <v>0</v>
      </c>
      <c r="BC127">
        <f t="shared" si="53"/>
        <v>0</v>
      </c>
      <c r="BD127">
        <f t="shared" si="54"/>
        <v>0</v>
      </c>
      <c r="BE127">
        <f t="shared" si="55"/>
        <v>0</v>
      </c>
      <c r="BF127">
        <f t="shared" si="58"/>
        <v>0</v>
      </c>
      <c r="BG127">
        <f t="shared" si="56"/>
        <v>1</v>
      </c>
    </row>
    <row r="128" spans="45:59" ht="12.75">
      <c r="AS128" s="232"/>
      <c r="AY128">
        <f t="shared" si="57"/>
        <v>1</v>
      </c>
      <c r="AZ128">
        <f t="shared" si="50"/>
        <v>0.01866025403784439</v>
      </c>
      <c r="BA128">
        <f t="shared" si="51"/>
        <v>-0.03732050807568878</v>
      </c>
      <c r="BB128">
        <f t="shared" si="52"/>
        <v>0</v>
      </c>
      <c r="BC128">
        <f t="shared" si="53"/>
        <v>0</v>
      </c>
      <c r="BD128">
        <f t="shared" si="54"/>
        <v>0</v>
      </c>
      <c r="BE128">
        <f t="shared" si="55"/>
        <v>0</v>
      </c>
      <c r="BF128">
        <f t="shared" si="58"/>
        <v>0</v>
      </c>
      <c r="BG128">
        <f t="shared" si="56"/>
        <v>1</v>
      </c>
    </row>
    <row r="129" spans="45:59" ht="12.75">
      <c r="AS129" s="232"/>
      <c r="AY129">
        <f t="shared" si="57"/>
        <v>1</v>
      </c>
      <c r="AZ129">
        <f t="shared" si="50"/>
        <v>0.01866025403784439</v>
      </c>
      <c r="BA129">
        <f t="shared" si="51"/>
        <v>-0.03732050807568878</v>
      </c>
      <c r="BB129">
        <f t="shared" si="52"/>
        <v>0</v>
      </c>
      <c r="BC129">
        <f t="shared" si="53"/>
        <v>0</v>
      </c>
      <c r="BD129">
        <f t="shared" si="54"/>
        <v>0</v>
      </c>
      <c r="BE129">
        <f t="shared" si="55"/>
        <v>0</v>
      </c>
      <c r="BF129">
        <f t="shared" si="58"/>
        <v>0</v>
      </c>
      <c r="BG129">
        <f t="shared" si="56"/>
        <v>1</v>
      </c>
    </row>
    <row r="130" spans="45:59" ht="12.75">
      <c r="AS130" s="232"/>
      <c r="AY130">
        <f t="shared" si="57"/>
        <v>1</v>
      </c>
      <c r="AZ130">
        <f t="shared" si="50"/>
        <v>0.01866025403784439</v>
      </c>
      <c r="BA130">
        <f t="shared" si="51"/>
        <v>-0.03732050807568878</v>
      </c>
      <c r="BB130">
        <f t="shared" si="52"/>
        <v>0</v>
      </c>
      <c r="BC130">
        <f t="shared" si="53"/>
        <v>0</v>
      </c>
      <c r="BD130">
        <f t="shared" si="54"/>
        <v>0</v>
      </c>
      <c r="BE130">
        <f t="shared" si="55"/>
        <v>0</v>
      </c>
      <c r="BF130">
        <f t="shared" si="58"/>
        <v>0</v>
      </c>
      <c r="BG130">
        <f t="shared" si="56"/>
        <v>1</v>
      </c>
    </row>
    <row r="131" spans="45:59" ht="12.75">
      <c r="AS131" s="232"/>
      <c r="AY131">
        <f t="shared" si="57"/>
        <v>1</v>
      </c>
      <c r="AZ131">
        <f t="shared" si="50"/>
        <v>0.01866025403784439</v>
      </c>
      <c r="BA131">
        <f t="shared" si="51"/>
        <v>-0.03732050807568878</v>
      </c>
      <c r="BB131">
        <f t="shared" si="52"/>
        <v>0</v>
      </c>
      <c r="BC131">
        <f t="shared" si="53"/>
        <v>0</v>
      </c>
      <c r="BD131">
        <f t="shared" si="54"/>
        <v>0</v>
      </c>
      <c r="BE131">
        <f t="shared" si="55"/>
        <v>0</v>
      </c>
      <c r="BF131">
        <f t="shared" si="58"/>
        <v>0</v>
      </c>
      <c r="BG131">
        <f t="shared" si="56"/>
        <v>1</v>
      </c>
    </row>
    <row r="132" spans="45:59" ht="12.75">
      <c r="AS132" s="232"/>
      <c r="AY132">
        <f t="shared" si="57"/>
        <v>1</v>
      </c>
      <c r="AZ132">
        <f t="shared" si="50"/>
        <v>0.01866025403784439</v>
      </c>
      <c r="BA132">
        <f t="shared" si="51"/>
        <v>-0.03732050807568878</v>
      </c>
      <c r="BB132">
        <f t="shared" si="52"/>
        <v>0</v>
      </c>
      <c r="BC132">
        <f t="shared" si="53"/>
        <v>0</v>
      </c>
      <c r="BD132">
        <f t="shared" si="54"/>
        <v>0</v>
      </c>
      <c r="BE132">
        <f t="shared" si="55"/>
        <v>0</v>
      </c>
      <c r="BF132">
        <f t="shared" si="58"/>
        <v>0</v>
      </c>
      <c r="BG132">
        <f t="shared" si="56"/>
        <v>1</v>
      </c>
    </row>
    <row r="133" spans="45:59" ht="12.75">
      <c r="AS133" s="232"/>
      <c r="AY133">
        <f t="shared" si="57"/>
        <v>1</v>
      </c>
      <c r="AZ133">
        <f t="shared" si="50"/>
        <v>0.01866025403784439</v>
      </c>
      <c r="BA133">
        <f t="shared" si="51"/>
        <v>-0.03732050807568878</v>
      </c>
      <c r="BB133">
        <f t="shared" si="52"/>
        <v>0</v>
      </c>
      <c r="BC133">
        <f t="shared" si="53"/>
        <v>0</v>
      </c>
      <c r="BD133">
        <f t="shared" si="54"/>
        <v>0</v>
      </c>
      <c r="BE133">
        <f t="shared" si="55"/>
        <v>0</v>
      </c>
      <c r="BF133">
        <f t="shared" si="58"/>
        <v>0</v>
      </c>
      <c r="BG133">
        <f t="shared" si="56"/>
        <v>1</v>
      </c>
    </row>
    <row r="134" spans="45:59" ht="12.75">
      <c r="AS134" s="232"/>
      <c r="AY134">
        <f t="shared" si="57"/>
        <v>1</v>
      </c>
      <c r="AZ134">
        <f t="shared" si="50"/>
        <v>0.01866025403784439</v>
      </c>
      <c r="BA134">
        <f t="shared" si="51"/>
        <v>-0.03732050807568878</v>
      </c>
      <c r="BB134">
        <f t="shared" si="52"/>
        <v>0</v>
      </c>
      <c r="BC134">
        <f t="shared" si="53"/>
        <v>0</v>
      </c>
      <c r="BD134">
        <f t="shared" si="54"/>
        <v>0</v>
      </c>
      <c r="BE134">
        <f t="shared" si="55"/>
        <v>0</v>
      </c>
      <c r="BF134">
        <f t="shared" si="58"/>
        <v>0</v>
      </c>
      <c r="BG134">
        <f t="shared" si="56"/>
        <v>1</v>
      </c>
    </row>
    <row r="135" spans="45:59" ht="12.75">
      <c r="AS135" s="232"/>
      <c r="AY135">
        <f t="shared" si="57"/>
        <v>1</v>
      </c>
      <c r="AZ135">
        <f aca="true" t="shared" si="59" ref="AZ135:AZ151">(AY135/100-0.005)/TAN($AZ$4*PI()/180)</f>
        <v>0.01866025403784439</v>
      </c>
      <c r="BA135">
        <f aca="true" t="shared" si="60" ref="BA135:BA151">$AZ$1-2*AZ135</f>
        <v>-0.03732050807568878</v>
      </c>
      <c r="BB135">
        <f aca="true" t="shared" si="61" ref="BB135:BB151">IF($AZ$5/BA135&lt;0.5,$AZ$5/BA135,0.5)</f>
        <v>0</v>
      </c>
      <c r="BC135">
        <f aca="true" t="shared" si="62" ref="BC135:BC151">IF(BF135+BG135=2,3.1316*BB135^4-1.453*BB135^3+0.5868*BB135^2-1.3257*BB135+0.5,0)</f>
        <v>0</v>
      </c>
      <c r="BD135">
        <f aca="true" t="shared" si="63" ref="BD135:BD151">IF(BF135+BG135=2,(PI()*BA135^2/4),0)*0.01</f>
        <v>0</v>
      </c>
      <c r="BE135">
        <f aca="true" t="shared" si="64" ref="BE135:BE151">BD135*BC135</f>
        <v>0</v>
      </c>
      <c r="BF135">
        <f t="shared" si="58"/>
        <v>0</v>
      </c>
      <c r="BG135">
        <f aca="true" t="shared" si="65" ref="BG135:BG151">IF(BB135=0.5,0,1)</f>
        <v>1</v>
      </c>
    </row>
    <row r="136" spans="45:59" ht="12.75">
      <c r="AS136" s="232"/>
      <c r="AY136">
        <f aca="true" t="shared" si="66" ref="AY136:AY151">IF(BA135-($AZ$1/4)&gt;0,AY135+1,AY135)</f>
        <v>1</v>
      </c>
      <c r="AZ136">
        <f t="shared" si="59"/>
        <v>0.01866025403784439</v>
      </c>
      <c r="BA136">
        <f t="shared" si="60"/>
        <v>-0.03732050807568878</v>
      </c>
      <c r="BB136">
        <f t="shared" si="61"/>
        <v>0</v>
      </c>
      <c r="BC136">
        <f t="shared" si="62"/>
        <v>0</v>
      </c>
      <c r="BD136">
        <f t="shared" si="63"/>
        <v>0</v>
      </c>
      <c r="BE136">
        <f t="shared" si="64"/>
        <v>0</v>
      </c>
      <c r="BF136">
        <f aca="true" t="shared" si="67" ref="BF136:BF151">AY136-AY135</f>
        <v>0</v>
      </c>
      <c r="BG136">
        <f t="shared" si="65"/>
        <v>1</v>
      </c>
    </row>
    <row r="137" spans="45:59" ht="12.75">
      <c r="AS137" s="232"/>
      <c r="AY137">
        <f t="shared" si="66"/>
        <v>1</v>
      </c>
      <c r="AZ137">
        <f t="shared" si="59"/>
        <v>0.01866025403784439</v>
      </c>
      <c r="BA137">
        <f t="shared" si="60"/>
        <v>-0.03732050807568878</v>
      </c>
      <c r="BB137">
        <f t="shared" si="61"/>
        <v>0</v>
      </c>
      <c r="BC137">
        <f t="shared" si="62"/>
        <v>0</v>
      </c>
      <c r="BD137">
        <f t="shared" si="63"/>
        <v>0</v>
      </c>
      <c r="BE137">
        <f t="shared" si="64"/>
        <v>0</v>
      </c>
      <c r="BF137">
        <f t="shared" si="67"/>
        <v>0</v>
      </c>
      <c r="BG137">
        <f t="shared" si="65"/>
        <v>1</v>
      </c>
    </row>
    <row r="138" spans="45:59" ht="12.75">
      <c r="AS138" s="232"/>
      <c r="AY138">
        <f t="shared" si="66"/>
        <v>1</v>
      </c>
      <c r="AZ138">
        <f t="shared" si="59"/>
        <v>0.01866025403784439</v>
      </c>
      <c r="BA138">
        <f t="shared" si="60"/>
        <v>-0.03732050807568878</v>
      </c>
      <c r="BB138">
        <f t="shared" si="61"/>
        <v>0</v>
      </c>
      <c r="BC138">
        <f t="shared" si="62"/>
        <v>0</v>
      </c>
      <c r="BD138">
        <f t="shared" si="63"/>
        <v>0</v>
      </c>
      <c r="BE138">
        <f t="shared" si="64"/>
        <v>0</v>
      </c>
      <c r="BF138">
        <f t="shared" si="67"/>
        <v>0</v>
      </c>
      <c r="BG138">
        <f t="shared" si="65"/>
        <v>1</v>
      </c>
    </row>
    <row r="139" spans="45:59" ht="12.75">
      <c r="AS139" s="232"/>
      <c r="AY139">
        <f t="shared" si="66"/>
        <v>1</v>
      </c>
      <c r="AZ139">
        <f t="shared" si="59"/>
        <v>0.01866025403784439</v>
      </c>
      <c r="BA139">
        <f t="shared" si="60"/>
        <v>-0.03732050807568878</v>
      </c>
      <c r="BB139">
        <f t="shared" si="61"/>
        <v>0</v>
      </c>
      <c r="BC139">
        <f t="shared" si="62"/>
        <v>0</v>
      </c>
      <c r="BD139">
        <f t="shared" si="63"/>
        <v>0</v>
      </c>
      <c r="BE139">
        <f t="shared" si="64"/>
        <v>0</v>
      </c>
      <c r="BF139">
        <f t="shared" si="67"/>
        <v>0</v>
      </c>
      <c r="BG139">
        <f t="shared" si="65"/>
        <v>1</v>
      </c>
    </row>
    <row r="140" spans="45:59" ht="12.75">
      <c r="AS140" s="232"/>
      <c r="AY140">
        <f t="shared" si="66"/>
        <v>1</v>
      </c>
      <c r="AZ140">
        <f t="shared" si="59"/>
        <v>0.01866025403784439</v>
      </c>
      <c r="BA140">
        <f t="shared" si="60"/>
        <v>-0.03732050807568878</v>
      </c>
      <c r="BB140">
        <f t="shared" si="61"/>
        <v>0</v>
      </c>
      <c r="BC140">
        <f t="shared" si="62"/>
        <v>0</v>
      </c>
      <c r="BD140">
        <f t="shared" si="63"/>
        <v>0</v>
      </c>
      <c r="BE140">
        <f t="shared" si="64"/>
        <v>0</v>
      </c>
      <c r="BF140">
        <f t="shared" si="67"/>
        <v>0</v>
      </c>
      <c r="BG140">
        <f t="shared" si="65"/>
        <v>1</v>
      </c>
    </row>
    <row r="141" spans="45:59" ht="12.75">
      <c r="AS141" s="232"/>
      <c r="AY141">
        <f t="shared" si="66"/>
        <v>1</v>
      </c>
      <c r="AZ141">
        <f t="shared" si="59"/>
        <v>0.01866025403784439</v>
      </c>
      <c r="BA141">
        <f t="shared" si="60"/>
        <v>-0.03732050807568878</v>
      </c>
      <c r="BB141">
        <f t="shared" si="61"/>
        <v>0</v>
      </c>
      <c r="BC141">
        <f t="shared" si="62"/>
        <v>0</v>
      </c>
      <c r="BD141">
        <f t="shared" si="63"/>
        <v>0</v>
      </c>
      <c r="BE141">
        <f t="shared" si="64"/>
        <v>0</v>
      </c>
      <c r="BF141">
        <f t="shared" si="67"/>
        <v>0</v>
      </c>
      <c r="BG141">
        <f t="shared" si="65"/>
        <v>1</v>
      </c>
    </row>
    <row r="142" spans="45:59" ht="12.75">
      <c r="AS142" s="232"/>
      <c r="AY142">
        <f t="shared" si="66"/>
        <v>1</v>
      </c>
      <c r="AZ142">
        <f t="shared" si="59"/>
        <v>0.01866025403784439</v>
      </c>
      <c r="BA142">
        <f t="shared" si="60"/>
        <v>-0.03732050807568878</v>
      </c>
      <c r="BB142">
        <f t="shared" si="61"/>
        <v>0</v>
      </c>
      <c r="BC142">
        <f t="shared" si="62"/>
        <v>0</v>
      </c>
      <c r="BD142">
        <f t="shared" si="63"/>
        <v>0</v>
      </c>
      <c r="BE142">
        <f t="shared" si="64"/>
        <v>0</v>
      </c>
      <c r="BF142">
        <f t="shared" si="67"/>
        <v>0</v>
      </c>
      <c r="BG142">
        <f t="shared" si="65"/>
        <v>1</v>
      </c>
    </row>
    <row r="143" spans="45:59" ht="12.75">
      <c r="AS143" s="232"/>
      <c r="AY143">
        <f t="shared" si="66"/>
        <v>1</v>
      </c>
      <c r="AZ143">
        <f t="shared" si="59"/>
        <v>0.01866025403784439</v>
      </c>
      <c r="BA143">
        <f t="shared" si="60"/>
        <v>-0.03732050807568878</v>
      </c>
      <c r="BB143">
        <f t="shared" si="61"/>
        <v>0</v>
      </c>
      <c r="BC143">
        <f t="shared" si="62"/>
        <v>0</v>
      </c>
      <c r="BD143">
        <f t="shared" si="63"/>
        <v>0</v>
      </c>
      <c r="BE143">
        <f t="shared" si="64"/>
        <v>0</v>
      </c>
      <c r="BF143">
        <f t="shared" si="67"/>
        <v>0</v>
      </c>
      <c r="BG143">
        <f t="shared" si="65"/>
        <v>1</v>
      </c>
    </row>
    <row r="144" spans="45:59" ht="12.75">
      <c r="AS144" s="232"/>
      <c r="AY144">
        <f t="shared" si="66"/>
        <v>1</v>
      </c>
      <c r="AZ144">
        <f t="shared" si="59"/>
        <v>0.01866025403784439</v>
      </c>
      <c r="BA144">
        <f t="shared" si="60"/>
        <v>-0.03732050807568878</v>
      </c>
      <c r="BB144">
        <f t="shared" si="61"/>
        <v>0</v>
      </c>
      <c r="BC144">
        <f t="shared" si="62"/>
        <v>0</v>
      </c>
      <c r="BD144">
        <f t="shared" si="63"/>
        <v>0</v>
      </c>
      <c r="BE144">
        <f t="shared" si="64"/>
        <v>0</v>
      </c>
      <c r="BF144">
        <f t="shared" si="67"/>
        <v>0</v>
      </c>
      <c r="BG144">
        <f t="shared" si="65"/>
        <v>1</v>
      </c>
    </row>
    <row r="145" spans="45:59" ht="12.75">
      <c r="AS145" s="232"/>
      <c r="AY145">
        <f t="shared" si="66"/>
        <v>1</v>
      </c>
      <c r="AZ145">
        <f t="shared" si="59"/>
        <v>0.01866025403784439</v>
      </c>
      <c r="BA145">
        <f t="shared" si="60"/>
        <v>-0.03732050807568878</v>
      </c>
      <c r="BB145">
        <f t="shared" si="61"/>
        <v>0</v>
      </c>
      <c r="BC145">
        <f t="shared" si="62"/>
        <v>0</v>
      </c>
      <c r="BD145">
        <f t="shared" si="63"/>
        <v>0</v>
      </c>
      <c r="BE145">
        <f t="shared" si="64"/>
        <v>0</v>
      </c>
      <c r="BF145">
        <f t="shared" si="67"/>
        <v>0</v>
      </c>
      <c r="BG145">
        <f t="shared" si="65"/>
        <v>1</v>
      </c>
    </row>
    <row r="146" spans="45:59" ht="12.75">
      <c r="AS146" s="232"/>
      <c r="AY146">
        <f t="shared" si="66"/>
        <v>1</v>
      </c>
      <c r="AZ146">
        <f t="shared" si="59"/>
        <v>0.01866025403784439</v>
      </c>
      <c r="BA146">
        <f t="shared" si="60"/>
        <v>-0.03732050807568878</v>
      </c>
      <c r="BB146">
        <f t="shared" si="61"/>
        <v>0</v>
      </c>
      <c r="BC146">
        <f t="shared" si="62"/>
        <v>0</v>
      </c>
      <c r="BD146">
        <f t="shared" si="63"/>
        <v>0</v>
      </c>
      <c r="BE146">
        <f t="shared" si="64"/>
        <v>0</v>
      </c>
      <c r="BF146">
        <f t="shared" si="67"/>
        <v>0</v>
      </c>
      <c r="BG146">
        <f t="shared" si="65"/>
        <v>1</v>
      </c>
    </row>
    <row r="147" spans="45:59" ht="12.75">
      <c r="AS147" s="232"/>
      <c r="AY147">
        <f t="shared" si="66"/>
        <v>1</v>
      </c>
      <c r="AZ147">
        <f t="shared" si="59"/>
        <v>0.01866025403784439</v>
      </c>
      <c r="BA147">
        <f t="shared" si="60"/>
        <v>-0.03732050807568878</v>
      </c>
      <c r="BB147">
        <f t="shared" si="61"/>
        <v>0</v>
      </c>
      <c r="BC147">
        <f t="shared" si="62"/>
        <v>0</v>
      </c>
      <c r="BD147">
        <f t="shared" si="63"/>
        <v>0</v>
      </c>
      <c r="BE147">
        <f t="shared" si="64"/>
        <v>0</v>
      </c>
      <c r="BF147">
        <f t="shared" si="67"/>
        <v>0</v>
      </c>
      <c r="BG147">
        <f t="shared" si="65"/>
        <v>1</v>
      </c>
    </row>
    <row r="148" spans="45:59" ht="12.75">
      <c r="AS148" s="232"/>
      <c r="AY148">
        <f t="shared" si="66"/>
        <v>1</v>
      </c>
      <c r="AZ148">
        <f t="shared" si="59"/>
        <v>0.01866025403784439</v>
      </c>
      <c r="BA148">
        <f t="shared" si="60"/>
        <v>-0.03732050807568878</v>
      </c>
      <c r="BB148">
        <f t="shared" si="61"/>
        <v>0</v>
      </c>
      <c r="BC148">
        <f t="shared" si="62"/>
        <v>0</v>
      </c>
      <c r="BD148">
        <f t="shared" si="63"/>
        <v>0</v>
      </c>
      <c r="BE148">
        <f t="shared" si="64"/>
        <v>0</v>
      </c>
      <c r="BF148">
        <f t="shared" si="67"/>
        <v>0</v>
      </c>
      <c r="BG148">
        <f t="shared" si="65"/>
        <v>1</v>
      </c>
    </row>
    <row r="149" spans="45:59" ht="12.75">
      <c r="AS149" s="232"/>
      <c r="AY149">
        <f t="shared" si="66"/>
        <v>1</v>
      </c>
      <c r="AZ149">
        <f t="shared" si="59"/>
        <v>0.01866025403784439</v>
      </c>
      <c r="BA149">
        <f t="shared" si="60"/>
        <v>-0.03732050807568878</v>
      </c>
      <c r="BB149">
        <f t="shared" si="61"/>
        <v>0</v>
      </c>
      <c r="BC149">
        <f t="shared" si="62"/>
        <v>0</v>
      </c>
      <c r="BD149">
        <f t="shared" si="63"/>
        <v>0</v>
      </c>
      <c r="BE149">
        <f t="shared" si="64"/>
        <v>0</v>
      </c>
      <c r="BF149">
        <f t="shared" si="67"/>
        <v>0</v>
      </c>
      <c r="BG149">
        <f t="shared" si="65"/>
        <v>1</v>
      </c>
    </row>
    <row r="150" spans="45:59" ht="12.75">
      <c r="AS150" s="232"/>
      <c r="AY150">
        <f t="shared" si="66"/>
        <v>1</v>
      </c>
      <c r="AZ150">
        <f t="shared" si="59"/>
        <v>0.01866025403784439</v>
      </c>
      <c r="BA150">
        <f t="shared" si="60"/>
        <v>-0.03732050807568878</v>
      </c>
      <c r="BB150">
        <f t="shared" si="61"/>
        <v>0</v>
      </c>
      <c r="BC150">
        <f t="shared" si="62"/>
        <v>0</v>
      </c>
      <c r="BD150">
        <f t="shared" si="63"/>
        <v>0</v>
      </c>
      <c r="BE150">
        <f t="shared" si="64"/>
        <v>0</v>
      </c>
      <c r="BF150">
        <f t="shared" si="67"/>
        <v>0</v>
      </c>
      <c r="BG150">
        <f t="shared" si="65"/>
        <v>1</v>
      </c>
    </row>
    <row r="151" spans="45:59" ht="12.75">
      <c r="AS151" s="232"/>
      <c r="AY151">
        <f t="shared" si="66"/>
        <v>1</v>
      </c>
      <c r="AZ151">
        <f t="shared" si="59"/>
        <v>0.01866025403784439</v>
      </c>
      <c r="BA151">
        <f t="shared" si="60"/>
        <v>-0.03732050807568878</v>
      </c>
      <c r="BB151" s="368">
        <f t="shared" si="61"/>
        <v>0</v>
      </c>
      <c r="BC151">
        <f t="shared" si="62"/>
        <v>0</v>
      </c>
      <c r="BD151">
        <f t="shared" si="63"/>
        <v>0</v>
      </c>
      <c r="BE151">
        <f t="shared" si="64"/>
        <v>0</v>
      </c>
      <c r="BF151">
        <f t="shared" si="67"/>
        <v>0</v>
      </c>
      <c r="BG151">
        <f t="shared" si="65"/>
        <v>1</v>
      </c>
    </row>
    <row r="275" ht="12.75">
      <c r="R275" s="232"/>
    </row>
    <row r="276" spans="18:26" ht="12.75">
      <c r="R276" s="232"/>
      <c r="V276" t="s">
        <v>194</v>
      </c>
      <c r="Z276" s="368"/>
    </row>
    <row r="277" ht="12.75">
      <c r="R277" s="232"/>
    </row>
    <row r="278" spans="18:25" ht="12.75">
      <c r="R278" s="232"/>
      <c r="V278" t="s">
        <v>195</v>
      </c>
      <c r="X278" t="s">
        <v>196</v>
      </c>
      <c r="Y278">
        <f>AZ1</f>
        <v>0</v>
      </c>
    </row>
    <row r="279" spans="18:25" ht="12.75">
      <c r="R279" s="232"/>
      <c r="X279" t="s">
        <v>197</v>
      </c>
      <c r="Y279">
        <f>AZ3</f>
        <v>0</v>
      </c>
    </row>
    <row r="280" spans="18:25" ht="12.75">
      <c r="R280" s="232"/>
      <c r="V280" t="s">
        <v>198</v>
      </c>
      <c r="X280" t="s">
        <v>199</v>
      </c>
      <c r="Y280">
        <f>AZ4</f>
        <v>15</v>
      </c>
    </row>
    <row r="281" spans="18:22" ht="12.75">
      <c r="R281" s="232"/>
      <c r="V281" t="s">
        <v>200</v>
      </c>
    </row>
    <row r="282" spans="18:25" ht="12.75">
      <c r="R282" s="232"/>
      <c r="X282" t="s">
        <v>201</v>
      </c>
      <c r="Y282" s="103">
        <f>AZ5</f>
        <v>0</v>
      </c>
    </row>
    <row r="283" spans="18:25" ht="12.75">
      <c r="R283" s="232"/>
      <c r="X283" t="s">
        <v>202</v>
      </c>
      <c r="Y283" s="103">
        <f>BD4</f>
        <v>1.0939185236484793E-05</v>
      </c>
    </row>
    <row r="284" spans="18:25" ht="12.75">
      <c r="R284" s="232"/>
      <c r="X284" t="s">
        <v>203</v>
      </c>
      <c r="Y284" s="369">
        <f>BE4</f>
        <v>5.4695926182423965E-06</v>
      </c>
    </row>
    <row r="285" ht="12.75">
      <c r="R285" s="232"/>
    </row>
    <row r="286" ht="12.75">
      <c r="R286" s="232"/>
    </row>
    <row r="287" ht="12.75">
      <c r="R287" s="232"/>
    </row>
    <row r="288" ht="12.75">
      <c r="R288" s="232"/>
    </row>
    <row r="289" ht="12.75">
      <c r="R289" s="232"/>
    </row>
    <row r="290" ht="12.75">
      <c r="R290" s="232"/>
    </row>
    <row r="291" ht="12.75">
      <c r="R291" s="232"/>
    </row>
    <row r="292" ht="12.75">
      <c r="R292" s="232"/>
    </row>
    <row r="293" ht="12.75">
      <c r="R293" s="232"/>
    </row>
    <row r="294" ht="12.75">
      <c r="R294" s="232"/>
    </row>
    <row r="295" ht="12.75">
      <c r="R295" s="232"/>
    </row>
    <row r="296" ht="12.75">
      <c r="R296" s="232"/>
    </row>
    <row r="297" ht="12.75">
      <c r="R297" s="232"/>
    </row>
    <row r="298" ht="12.75">
      <c r="R298" s="232"/>
    </row>
    <row r="299" ht="12.75">
      <c r="R299" s="232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2" fitToWidth="1" horizontalDpi="300" verticalDpi="300" orientation="portrait" paperSize="9" scale="97" r:id="rId3"/>
  <headerFooter alignWithMargins="0">
    <oddHeader xml:space="preserve">&amp;C  </oddHeader>
    <oddFooter>&amp;L           &amp;A &amp;F &amp;D</oddFooter>
  </headerFooter>
  <rowBreaks count="2" manualBreakCount="2">
    <brk id="51" max="65535" man="1"/>
    <brk id="55" max="655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99"/>
  <sheetViews>
    <sheetView showZeros="0" zoomScale="75" zoomScaleNormal="75" workbookViewId="0" topLeftCell="A1">
      <selection activeCell="I118" sqref="I118"/>
    </sheetView>
  </sheetViews>
  <sheetFormatPr defaultColWidth="9.140625" defaultRowHeight="12.75"/>
  <cols>
    <col min="1" max="1" width="30.00390625" style="0" customWidth="1"/>
    <col min="2" max="2" width="7.7109375" style="0" customWidth="1"/>
    <col min="3" max="3" width="9.8515625" style="0" customWidth="1"/>
    <col min="4" max="4" width="15.7109375" style="0" customWidth="1"/>
    <col min="5" max="5" width="8.7109375" style="0" customWidth="1"/>
    <col min="6" max="6" width="10.00390625" style="0" customWidth="1"/>
    <col min="14" max="14" width="10.421875" style="0" customWidth="1"/>
    <col min="24" max="24" width="20.8515625" style="0" customWidth="1"/>
  </cols>
  <sheetData>
    <row r="1" spans="1:53" ht="15" customHeight="1" thickBot="1" thickTop="1">
      <c r="A1" s="241" t="s">
        <v>0</v>
      </c>
      <c r="B1" s="478"/>
      <c r="C1" s="476"/>
      <c r="D1" s="477"/>
      <c r="E1" s="240" t="s">
        <v>1</v>
      </c>
      <c r="F1" s="430"/>
      <c r="O1" s="4"/>
      <c r="P1" s="4"/>
      <c r="Q1" s="2"/>
      <c r="AD1" s="361" t="s">
        <v>2</v>
      </c>
      <c r="AE1" s="362" t="s">
        <v>3</v>
      </c>
      <c r="AF1" s="363" t="s">
        <v>4</v>
      </c>
      <c r="AG1" s="363"/>
      <c r="AH1" s="344"/>
      <c r="AI1" s="344"/>
      <c r="AJ1" s="344"/>
      <c r="AK1" s="344"/>
      <c r="AL1" s="345"/>
      <c r="AP1" t="s">
        <v>5</v>
      </c>
      <c r="AQ1">
        <v>1</v>
      </c>
      <c r="AS1" s="232"/>
      <c r="AY1" t="s">
        <v>6</v>
      </c>
      <c r="AZ1" s="367">
        <f>'SAG- BM Combination'!$F$64</f>
        <v>0</v>
      </c>
      <c r="BA1">
        <f>AZ1/4</f>
        <v>0</v>
      </c>
    </row>
    <row r="2" spans="1:57" ht="15" customHeight="1">
      <c r="A2" s="485" t="s">
        <v>7</v>
      </c>
      <c r="B2" s="486"/>
      <c r="C2" s="491" t="s">
        <v>8</v>
      </c>
      <c r="D2" s="529"/>
      <c r="E2" s="490"/>
      <c r="F2" s="492"/>
      <c r="J2" s="577" t="s">
        <v>5</v>
      </c>
      <c r="K2" s="574" t="s">
        <v>495</v>
      </c>
      <c r="L2" s="574" t="s">
        <v>317</v>
      </c>
      <c r="M2" s="574" t="s">
        <v>13</v>
      </c>
      <c r="N2" s="574" t="s">
        <v>496</v>
      </c>
      <c r="O2" s="574" t="s">
        <v>12</v>
      </c>
      <c r="P2" s="575" t="s">
        <v>497</v>
      </c>
      <c r="Q2" s="575" t="s">
        <v>498</v>
      </c>
      <c r="R2" s="576" t="s">
        <v>499</v>
      </c>
      <c r="S2" s="577" t="s">
        <v>239</v>
      </c>
      <c r="AD2" s="268" t="s">
        <v>6</v>
      </c>
      <c r="AE2" s="346">
        <f>$F$64</f>
        <v>0</v>
      </c>
      <c r="AF2" s="5"/>
      <c r="AG2" s="5"/>
      <c r="AH2" s="5"/>
      <c r="AI2" s="5"/>
      <c r="AJ2" s="5"/>
      <c r="AK2" s="5"/>
      <c r="AL2" s="266"/>
      <c r="AP2" s="4" t="s">
        <v>11</v>
      </c>
      <c r="AQ2" s="4" t="s">
        <v>12</v>
      </c>
      <c r="AR2" t="s">
        <v>13</v>
      </c>
      <c r="AS2" s="232" t="s">
        <v>14</v>
      </c>
      <c r="AT2" t="s">
        <v>13</v>
      </c>
      <c r="AU2" t="s">
        <v>15</v>
      </c>
      <c r="AV2" t="s">
        <v>16</v>
      </c>
      <c r="AW2" t="s">
        <v>12</v>
      </c>
      <c r="AY2" t="s">
        <v>17</v>
      </c>
      <c r="AZ2" s="367">
        <f>'SAG- BM Combination'!$B$70*100</f>
        <v>0</v>
      </c>
      <c r="BA2">
        <f>AZ2/100</f>
        <v>0</v>
      </c>
      <c r="BD2" s="4" t="s">
        <v>18</v>
      </c>
      <c r="BE2" s="4" t="s">
        <v>19</v>
      </c>
    </row>
    <row r="3" spans="1:57" ht="15" customHeight="1">
      <c r="A3" s="493"/>
      <c r="B3" s="495" t="s">
        <v>9</v>
      </c>
      <c r="C3" s="533"/>
      <c r="D3" s="480"/>
      <c r="E3" s="124" t="s">
        <v>10</v>
      </c>
      <c r="F3" s="237"/>
      <c r="H3" s="217"/>
      <c r="I3" t="s">
        <v>503</v>
      </c>
      <c r="J3" s="588">
        <f>B60</f>
        <v>0</v>
      </c>
      <c r="K3" s="589"/>
      <c r="L3" s="590">
        <f>B61</f>
        <v>0</v>
      </c>
      <c r="M3" s="589" t="s">
        <v>502</v>
      </c>
      <c r="N3" s="591">
        <f>F73/1000</f>
        <v>0</v>
      </c>
      <c r="O3" s="589" t="s">
        <v>500</v>
      </c>
      <c r="P3" s="592">
        <f>L3*(11.7*(J3)-13.9)+N3</f>
        <v>0</v>
      </c>
      <c r="Q3" s="593">
        <f>P3*3/2.2</f>
        <v>0</v>
      </c>
      <c r="R3" s="594"/>
      <c r="S3" s="595">
        <f>F92</f>
        <v>0</v>
      </c>
      <c r="AD3" s="268" t="s">
        <v>22</v>
      </c>
      <c r="AE3" s="347">
        <v>0.4</v>
      </c>
      <c r="AF3" s="5" t="s">
        <v>23</v>
      </c>
      <c r="AG3" s="5"/>
      <c r="AH3" s="5"/>
      <c r="AI3" s="5"/>
      <c r="AJ3" s="5"/>
      <c r="AK3" s="5"/>
      <c r="AL3" s="266"/>
      <c r="AO3">
        <f aca="true" t="shared" si="0" ref="AO3:AO34">180*AP3/PI()</f>
        <v>5.729577951308232</v>
      </c>
      <c r="AP3">
        <v>0.1</v>
      </c>
      <c r="AQ3">
        <f aca="true" t="shared" si="1" ref="AQ3:AQ34">0.5*($AQ$1/2)^2*(AP3-SIN(AP3))</f>
        <v>2.082291914648135E-05</v>
      </c>
      <c r="AR3">
        <f aca="true" t="shared" si="2" ref="AR3:AR34">$AQ$1*(1-COS(AP3/2))/2</f>
        <v>0.0006248698025168586</v>
      </c>
      <c r="AS3" s="232">
        <f>$AQ3/$AQ$67</f>
        <v>2.651256409412302E-05</v>
      </c>
      <c r="AT3">
        <f aca="true" t="shared" si="3" ref="AT3:AT34">AR3/$AQ$1</f>
        <v>0.0006248698025168586</v>
      </c>
      <c r="AU3">
        <f aca="true" t="shared" si="4" ref="AU3:AU34">1-AT3</f>
        <v>0.9993751301974831</v>
      </c>
      <c r="AV3">
        <f aca="true" t="shared" si="5" ref="AV3:AV34">0.5-AT3</f>
        <v>0.49937513019748314</v>
      </c>
      <c r="AW3" s="232">
        <f aca="true" t="shared" si="6" ref="AW3:AW16">$AQ3/$AQ$67</f>
        <v>2.651256409412302E-05</v>
      </c>
      <c r="AY3" t="s">
        <v>24</v>
      </c>
      <c r="AZ3" s="367">
        <f>'SAG- BM Combination'!$B$71</f>
        <v>15</v>
      </c>
      <c r="BD3">
        <f>SUM(BD6:BD151)</f>
        <v>1.0939185236484793E-05</v>
      </c>
      <c r="BE3">
        <f>SUM(BE6:BE151)</f>
        <v>5.4695926182423965E-06</v>
      </c>
    </row>
    <row r="4" spans="1:57" ht="15" customHeight="1">
      <c r="A4" s="34"/>
      <c r="B4" s="496" t="s">
        <v>20</v>
      </c>
      <c r="C4" s="488"/>
      <c r="D4" s="481"/>
      <c r="E4" s="124" t="s">
        <v>21</v>
      </c>
      <c r="F4" s="238"/>
      <c r="I4" s="1" t="s">
        <v>504</v>
      </c>
      <c r="J4" s="588">
        <f>B128</f>
        <v>0</v>
      </c>
      <c r="K4" s="589"/>
      <c r="L4" s="590">
        <f>B129</f>
        <v>0</v>
      </c>
      <c r="M4" s="589" t="s">
        <v>502</v>
      </c>
      <c r="N4" s="591">
        <f>F140</f>
        <v>0</v>
      </c>
      <c r="O4" s="589" t="s">
        <v>500</v>
      </c>
      <c r="P4" s="592">
        <f>L4*(11.7*(J4)-13.9)+N4</f>
        <v>0</v>
      </c>
      <c r="Q4" s="593">
        <f>P4*3/2.2</f>
        <v>0</v>
      </c>
      <c r="R4" s="594"/>
      <c r="S4" s="595">
        <f>F155</f>
        <v>0</v>
      </c>
      <c r="AD4" s="268" t="s">
        <v>27</v>
      </c>
      <c r="AE4" s="348">
        <v>9.814</v>
      </c>
      <c r="AF4" s="5"/>
      <c r="AG4" s="5"/>
      <c r="AH4" s="5"/>
      <c r="AI4" s="5"/>
      <c r="AJ4" s="5"/>
      <c r="AK4" s="5"/>
      <c r="AL4" s="266"/>
      <c r="AO4">
        <f t="shared" si="0"/>
        <v>11.459155902616464</v>
      </c>
      <c r="AP4">
        <v>0.2</v>
      </c>
      <c r="AQ4">
        <f t="shared" si="1"/>
        <v>0.00016633365061734934</v>
      </c>
      <c r="AR4">
        <f t="shared" si="2"/>
        <v>0.0024979173609870897</v>
      </c>
      <c r="AS4" s="232">
        <f aca="true" t="shared" si="7" ref="AS4:AS35">AQ4/$AQ$67</f>
        <v>0.0002117825815861715</v>
      </c>
      <c r="AT4">
        <f t="shared" si="3"/>
        <v>0.0024979173609870897</v>
      </c>
      <c r="AU4">
        <f t="shared" si="4"/>
        <v>0.9975020826390129</v>
      </c>
      <c r="AV4">
        <f t="shared" si="5"/>
        <v>0.4975020826390129</v>
      </c>
      <c r="AW4" s="232">
        <f t="shared" si="6"/>
        <v>0.0002117825815861715</v>
      </c>
      <c r="AY4" t="s">
        <v>16</v>
      </c>
      <c r="AZ4">
        <f>AZ1*(13.374*BA2^4-15.609*BA2^3+6.5673*BA2^2-2.0224*BA2+0.5)</f>
        <v>0</v>
      </c>
      <c r="BE4" s="234">
        <f>BE3/BD3</f>
        <v>0.5</v>
      </c>
    </row>
    <row r="5" spans="1:58" ht="13.5" thickBot="1">
      <c r="A5" s="60"/>
      <c r="B5" s="494" t="s">
        <v>25</v>
      </c>
      <c r="C5" s="479">
        <v>1</v>
      </c>
      <c r="D5" s="474"/>
      <c r="E5" s="236" t="s">
        <v>26</v>
      </c>
      <c r="F5" s="239"/>
      <c r="I5" s="1"/>
      <c r="J5" s="1"/>
      <c r="K5" s="1"/>
      <c r="L5" s="1"/>
      <c r="M5" s="1"/>
      <c r="N5" s="1"/>
      <c r="O5" s="2"/>
      <c r="P5" s="2"/>
      <c r="Q5" s="2"/>
      <c r="AD5" s="268" t="s">
        <v>28</v>
      </c>
      <c r="AE5" s="346">
        <f>$B$69</f>
        <v>0</v>
      </c>
      <c r="AF5" s="5" t="s">
        <v>29</v>
      </c>
      <c r="AG5" s="5"/>
      <c r="AH5" s="5"/>
      <c r="AI5" s="5"/>
      <c r="AJ5" s="5"/>
      <c r="AK5" s="5"/>
      <c r="AL5" s="266"/>
      <c r="AO5">
        <f t="shared" si="0"/>
        <v>17.188733853924695</v>
      </c>
      <c r="AP5">
        <v>0.3</v>
      </c>
      <c r="AQ5">
        <f t="shared" si="1"/>
        <v>0.0005599741673325553</v>
      </c>
      <c r="AR5">
        <f t="shared" si="2"/>
        <v>0.005614461031978879</v>
      </c>
      <c r="AS5" s="232">
        <f t="shared" si="7"/>
        <v>0.0007129812538779546</v>
      </c>
      <c r="AT5">
        <f t="shared" si="3"/>
        <v>0.005614461031978879</v>
      </c>
      <c r="AU5">
        <f t="shared" si="4"/>
        <v>0.9943855389680212</v>
      </c>
      <c r="AV5">
        <f t="shared" si="5"/>
        <v>0.4943855389680211</v>
      </c>
      <c r="AW5" s="232">
        <f t="shared" si="6"/>
        <v>0.0007129812538779546</v>
      </c>
      <c r="AZ5" t="s">
        <v>30</v>
      </c>
      <c r="BA5" t="s">
        <v>31</v>
      </c>
      <c r="BB5" t="s">
        <v>32</v>
      </c>
      <c r="BC5" t="s">
        <v>33</v>
      </c>
      <c r="BD5" t="s">
        <v>17</v>
      </c>
      <c r="BF5" t="s">
        <v>34</v>
      </c>
    </row>
    <row r="6" spans="1:59" ht="14.25" thickBot="1" thickTop="1">
      <c r="A6" s="102"/>
      <c r="B6" s="7"/>
      <c r="C6" s="7"/>
      <c r="D6" s="7"/>
      <c r="E6" s="7"/>
      <c r="F6" s="47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AD6" s="268" t="s">
        <v>35</v>
      </c>
      <c r="AE6" s="346">
        <f>$B$70</f>
        <v>0</v>
      </c>
      <c r="AF6" s="5" t="s">
        <v>36</v>
      </c>
      <c r="AG6" s="5"/>
      <c r="AH6" s="5"/>
      <c r="AI6" s="5"/>
      <c r="AJ6" s="5"/>
      <c r="AK6" s="5"/>
      <c r="AL6" s="266"/>
      <c r="AO6">
        <f t="shared" si="0"/>
        <v>22.91831180523293</v>
      </c>
      <c r="AP6">
        <v>0.4</v>
      </c>
      <c r="AQ6">
        <f t="shared" si="1"/>
        <v>0.0013227072114186875</v>
      </c>
      <c r="AR6">
        <f t="shared" si="2"/>
        <v>0.009966711079379187</v>
      </c>
      <c r="AS6" s="232">
        <f t="shared" si="7"/>
        <v>0.0016841231276846463</v>
      </c>
      <c r="AT6">
        <f t="shared" si="3"/>
        <v>0.009966711079379187</v>
      </c>
      <c r="AU6">
        <f t="shared" si="4"/>
        <v>0.9900332889206208</v>
      </c>
      <c r="AV6">
        <f t="shared" si="5"/>
        <v>0.4900332889206208</v>
      </c>
      <c r="AW6" s="232">
        <f t="shared" si="6"/>
        <v>0.0016841231276846463</v>
      </c>
      <c r="AY6">
        <v>1</v>
      </c>
      <c r="AZ6">
        <f aca="true" t="shared" si="8" ref="AZ6:AZ37">(AY6/100-0.005)/TAN($AZ$3*PI()/180)</f>
        <v>0.01866025403784439</v>
      </c>
      <c r="BA6">
        <f aca="true" t="shared" si="9" ref="BA6:BA37">$AZ$1-2*AZ6</f>
        <v>-0.03732050807568878</v>
      </c>
      <c r="BB6">
        <f aca="true" t="shared" si="10" ref="BB6:BB37">IF($AZ$4/BA6&lt;0.5,$AZ$4/BA6,0.5)</f>
        <v>0</v>
      </c>
      <c r="BC6">
        <f aca="true" t="shared" si="11" ref="BC6:BC37">IF(BF6+BG6=2,3.1316*BB6^4-1.453*BB6^3+0.5868*BB6^2-1.3257*BB6+0.5,0)</f>
        <v>0.5</v>
      </c>
      <c r="BD6">
        <f aca="true" t="shared" si="12" ref="BD6:BD37">IF(BF6+BG6=2,(PI()*BA6^2/4),0)*0.01</f>
        <v>1.0939185236484793E-05</v>
      </c>
      <c r="BE6">
        <f aca="true" t="shared" si="13" ref="BE6:BE37">BD6*BC6</f>
        <v>5.4695926182423965E-06</v>
      </c>
      <c r="BF6">
        <v>1</v>
      </c>
      <c r="BG6">
        <f aca="true" t="shared" si="14" ref="BG6:BG37">IF(BB6=0.5,0,1)</f>
        <v>1</v>
      </c>
    </row>
    <row r="7" spans="1:59" ht="21.75" thickBot="1" thickTop="1">
      <c r="A7" s="426" t="s">
        <v>37</v>
      </c>
      <c r="B7" s="427"/>
      <c r="C7" s="427"/>
      <c r="D7" s="427"/>
      <c r="E7" s="427"/>
      <c r="F7" s="428" t="s">
        <v>38</v>
      </c>
      <c r="G7" s="13"/>
      <c r="H7" s="1"/>
      <c r="I7" s="1"/>
      <c r="J7" s="1"/>
      <c r="K7" s="1"/>
      <c r="L7" s="1"/>
      <c r="M7" s="1"/>
      <c r="N7" s="1"/>
      <c r="O7" s="2"/>
      <c r="P7" s="2"/>
      <c r="Q7" s="2"/>
      <c r="AD7" s="268" t="s">
        <v>39</v>
      </c>
      <c r="AE7" s="347">
        <v>1.26</v>
      </c>
      <c r="AF7" s="5"/>
      <c r="AG7" s="5"/>
      <c r="AH7" s="5"/>
      <c r="AI7" s="5"/>
      <c r="AJ7" s="5"/>
      <c r="AK7" s="5"/>
      <c r="AL7" s="266"/>
      <c r="AO7">
        <f t="shared" si="0"/>
        <v>28.64788975654116</v>
      </c>
      <c r="AP7">
        <v>0.5</v>
      </c>
      <c r="AQ7">
        <f t="shared" si="1"/>
        <v>0.0025718076744746243</v>
      </c>
      <c r="AR7">
        <f t="shared" si="2"/>
        <v>0.015543789144677633</v>
      </c>
      <c r="AS7" s="232">
        <f t="shared" si="7"/>
        <v>0.003274527232594468</v>
      </c>
      <c r="AT7">
        <f t="shared" si="3"/>
        <v>0.015543789144677633</v>
      </c>
      <c r="AU7">
        <f t="shared" si="4"/>
        <v>0.9844562108553223</v>
      </c>
      <c r="AV7">
        <f t="shared" si="5"/>
        <v>0.48445621085532237</v>
      </c>
      <c r="AW7" s="232">
        <f t="shared" si="6"/>
        <v>0.003274527232594468</v>
      </c>
      <c r="AY7">
        <f aca="true" t="shared" si="15" ref="AY7:AY38">IF(BA6-($AZ$1/4)&gt;0,AY6+1,AY6)</f>
        <v>1</v>
      </c>
      <c r="AZ7">
        <f t="shared" si="8"/>
        <v>0.01866025403784439</v>
      </c>
      <c r="BA7">
        <f t="shared" si="9"/>
        <v>-0.03732050807568878</v>
      </c>
      <c r="BB7">
        <f t="shared" si="10"/>
        <v>0</v>
      </c>
      <c r="BC7">
        <f t="shared" si="11"/>
        <v>0</v>
      </c>
      <c r="BD7">
        <f t="shared" si="12"/>
        <v>0</v>
      </c>
      <c r="BE7">
        <f t="shared" si="13"/>
        <v>0</v>
      </c>
      <c r="BF7">
        <f aca="true" t="shared" si="16" ref="BF7:BF38">AY7-AY6</f>
        <v>0</v>
      </c>
      <c r="BG7">
        <f t="shared" si="14"/>
        <v>1</v>
      </c>
    </row>
    <row r="8" spans="1:59" ht="12.75">
      <c r="A8" s="34"/>
      <c r="B8" s="5"/>
      <c r="C8" s="5"/>
      <c r="D8" s="9"/>
      <c r="E8" s="9"/>
      <c r="F8" s="246"/>
      <c r="G8" s="9"/>
      <c r="H8" s="2"/>
      <c r="K8" s="1"/>
      <c r="L8" s="1"/>
      <c r="M8" s="1"/>
      <c r="N8" s="1"/>
      <c r="O8" s="2"/>
      <c r="P8" s="2"/>
      <c r="Q8" s="2"/>
      <c r="AD8" s="268" t="s">
        <v>40</v>
      </c>
      <c r="AE8" s="346">
        <f>$B$61</f>
        <v>0</v>
      </c>
      <c r="AF8" s="5"/>
      <c r="AG8" s="5"/>
      <c r="AH8" s="5"/>
      <c r="AI8" s="5"/>
      <c r="AJ8" s="5"/>
      <c r="AK8" s="5"/>
      <c r="AL8" s="266"/>
      <c r="AO8">
        <f t="shared" si="0"/>
        <v>34.37746770784939</v>
      </c>
      <c r="AP8">
        <v>0.6</v>
      </c>
      <c r="AQ8">
        <f t="shared" si="1"/>
        <v>0.004419690825620576</v>
      </c>
      <c r="AR8">
        <f t="shared" si="2"/>
        <v>0.02233175543719701</v>
      </c>
      <c r="AS8" s="232">
        <f t="shared" si="7"/>
        <v>0.005627325134683317</v>
      </c>
      <c r="AT8">
        <f t="shared" si="3"/>
        <v>0.02233175543719701</v>
      </c>
      <c r="AU8">
        <f t="shared" si="4"/>
        <v>0.977668244562803</v>
      </c>
      <c r="AV8">
        <f t="shared" si="5"/>
        <v>0.477668244562803</v>
      </c>
      <c r="AW8" s="232">
        <f t="shared" si="6"/>
        <v>0.005627325134683317</v>
      </c>
      <c r="AY8">
        <f t="shared" si="15"/>
        <v>1</v>
      </c>
      <c r="AZ8">
        <f t="shared" si="8"/>
        <v>0.01866025403784439</v>
      </c>
      <c r="BA8">
        <f t="shared" si="9"/>
        <v>-0.03732050807568878</v>
      </c>
      <c r="BB8">
        <f t="shared" si="10"/>
        <v>0</v>
      </c>
      <c r="BC8">
        <f t="shared" si="11"/>
        <v>0</v>
      </c>
      <c r="BD8">
        <f t="shared" si="12"/>
        <v>0</v>
      </c>
      <c r="BE8">
        <f t="shared" si="13"/>
        <v>0</v>
      </c>
      <c r="BF8">
        <f t="shared" si="16"/>
        <v>0</v>
      </c>
      <c r="BG8">
        <f t="shared" si="14"/>
        <v>1</v>
      </c>
    </row>
    <row r="9" spans="1:59" ht="12.75">
      <c r="A9" s="35" t="s">
        <v>41</v>
      </c>
      <c r="B9" s="431"/>
      <c r="C9" s="49"/>
      <c r="D9" s="20" t="s">
        <v>42</v>
      </c>
      <c r="E9" s="5"/>
      <c r="F9" s="58"/>
      <c r="G9" s="12"/>
      <c r="H9" s="9"/>
      <c r="K9" s="1"/>
      <c r="L9" s="1"/>
      <c r="M9" s="1"/>
      <c r="N9" s="1"/>
      <c r="O9" s="2"/>
      <c r="P9" s="2"/>
      <c r="AD9" s="268" t="s">
        <v>43</v>
      </c>
      <c r="AE9" s="348"/>
      <c r="AF9" s="5"/>
      <c r="AG9" s="5"/>
      <c r="AH9" s="5"/>
      <c r="AI9" s="5"/>
      <c r="AJ9" s="5"/>
      <c r="AK9" s="5"/>
      <c r="AL9" s="266"/>
      <c r="AO9">
        <f t="shared" si="0"/>
        <v>40.10704565915762</v>
      </c>
      <c r="AP9">
        <v>0.7</v>
      </c>
      <c r="AQ9">
        <f t="shared" si="1"/>
        <v>0.006972789095288617</v>
      </c>
      <c r="AR9">
        <f t="shared" si="2"/>
        <v>0.030313643576310556</v>
      </c>
      <c r="AS9" s="232">
        <f t="shared" si="7"/>
        <v>0.008878030813219586</v>
      </c>
      <c r="AT9">
        <f t="shared" si="3"/>
        <v>0.030313643576310556</v>
      </c>
      <c r="AU9">
        <f t="shared" si="4"/>
        <v>0.9696863564236895</v>
      </c>
      <c r="AV9">
        <f t="shared" si="5"/>
        <v>0.46968635642368944</v>
      </c>
      <c r="AW9" s="232">
        <f t="shared" si="6"/>
        <v>0.008878030813219586</v>
      </c>
      <c r="AY9">
        <f t="shared" si="15"/>
        <v>1</v>
      </c>
      <c r="AZ9">
        <f t="shared" si="8"/>
        <v>0.01866025403784439</v>
      </c>
      <c r="BA9">
        <f t="shared" si="9"/>
        <v>-0.03732050807568878</v>
      </c>
      <c r="BB9">
        <f t="shared" si="10"/>
        <v>0</v>
      </c>
      <c r="BC9">
        <f t="shared" si="11"/>
        <v>0</v>
      </c>
      <c r="BD9">
        <f t="shared" si="12"/>
        <v>0</v>
      </c>
      <c r="BE9">
        <f t="shared" si="13"/>
        <v>0</v>
      </c>
      <c r="BF9">
        <f t="shared" si="16"/>
        <v>0</v>
      </c>
      <c r="BG9">
        <f t="shared" si="14"/>
        <v>1</v>
      </c>
    </row>
    <row r="10" spans="1:59" ht="25.5">
      <c r="A10" s="35" t="s">
        <v>44</v>
      </c>
      <c r="B10" s="432"/>
      <c r="C10" s="5"/>
      <c r="D10" s="5"/>
      <c r="E10" s="212" t="s">
        <v>45</v>
      </c>
      <c r="F10" s="213" t="s">
        <v>46</v>
      </c>
      <c r="G10" s="12"/>
      <c r="H10" s="9"/>
      <c r="I10" s="9"/>
      <c r="J10" s="9"/>
      <c r="K10" s="1"/>
      <c r="L10" s="1"/>
      <c r="M10" s="1"/>
      <c r="N10" s="1"/>
      <c r="O10" s="2"/>
      <c r="P10" s="2"/>
      <c r="AD10" s="268" t="s">
        <v>47</v>
      </c>
      <c r="AE10" s="364">
        <f>AE2*TAN(0.75*$B$71*PI()/180)</f>
        <v>0</v>
      </c>
      <c r="AF10" s="5"/>
      <c r="AG10" s="5"/>
      <c r="AH10" s="5"/>
      <c r="AI10" s="5"/>
      <c r="AJ10" s="5"/>
      <c r="AK10" s="5"/>
      <c r="AL10" s="266"/>
      <c r="AO10">
        <f t="shared" si="0"/>
        <v>45.83662361046586</v>
      </c>
      <c r="AP10">
        <v>0.8</v>
      </c>
      <c r="AQ10">
        <f t="shared" si="1"/>
        <v>0.010330488637559657</v>
      </c>
      <c r="AR10">
        <f t="shared" si="2"/>
        <v>0.03946950299855745</v>
      </c>
      <c r="AS10" s="232">
        <f t="shared" si="7"/>
        <v>0.013153186649778228</v>
      </c>
      <c r="AT10">
        <f t="shared" si="3"/>
        <v>0.03946950299855745</v>
      </c>
      <c r="AU10">
        <f t="shared" si="4"/>
        <v>0.9605304970014426</v>
      </c>
      <c r="AV10">
        <f t="shared" si="5"/>
        <v>0.46053049700144255</v>
      </c>
      <c r="AW10" s="232">
        <f t="shared" si="6"/>
        <v>0.013153186649778228</v>
      </c>
      <c r="AY10">
        <f t="shared" si="15"/>
        <v>1</v>
      </c>
      <c r="AZ10">
        <f t="shared" si="8"/>
        <v>0.01866025403784439</v>
      </c>
      <c r="BA10">
        <f t="shared" si="9"/>
        <v>-0.03732050807568878</v>
      </c>
      <c r="BB10">
        <f t="shared" si="10"/>
        <v>0</v>
      </c>
      <c r="BC10">
        <f t="shared" si="11"/>
        <v>0</v>
      </c>
      <c r="BD10">
        <f t="shared" si="12"/>
        <v>0</v>
      </c>
      <c r="BE10">
        <f t="shared" si="13"/>
        <v>0</v>
      </c>
      <c r="BF10">
        <f t="shared" si="16"/>
        <v>0</v>
      </c>
      <c r="BG10">
        <f t="shared" si="14"/>
        <v>1</v>
      </c>
    </row>
    <row r="11" spans="1:59" ht="15.75">
      <c r="A11" s="72" t="s">
        <v>48</v>
      </c>
      <c r="B11" s="431"/>
      <c r="C11" s="49"/>
      <c r="D11" s="75" t="s">
        <v>48</v>
      </c>
      <c r="E11" s="433">
        <v>14000</v>
      </c>
      <c r="F11" s="36">
        <f>IF(B12&gt;0,E12,)</f>
        <v>0</v>
      </c>
      <c r="G11" s="104" t="s">
        <v>49</v>
      </c>
      <c r="H11" s="373"/>
      <c r="I11" s="217"/>
      <c r="J11" s="217"/>
      <c r="K11" s="2"/>
      <c r="AD11" s="268" t="s">
        <v>50</v>
      </c>
      <c r="AE11" s="348"/>
      <c r="AF11" s="5"/>
      <c r="AG11" s="5"/>
      <c r="AH11" s="5"/>
      <c r="AI11" s="5"/>
      <c r="AJ11" s="5"/>
      <c r="AK11" s="5"/>
      <c r="AL11" s="266"/>
      <c r="AO11">
        <f t="shared" si="0"/>
        <v>51.56620156177409</v>
      </c>
      <c r="AP11">
        <v>0.9</v>
      </c>
      <c r="AQ11">
        <f t="shared" si="1"/>
        <v>0.014584136296564576</v>
      </c>
      <c r="AR11">
        <f t="shared" si="2"/>
        <v>0.04977644882366156</v>
      </c>
      <c r="AS11" s="232">
        <f t="shared" si="7"/>
        <v>0.018569099058593445</v>
      </c>
      <c r="AT11">
        <f t="shared" si="3"/>
        <v>0.04977644882366156</v>
      </c>
      <c r="AU11">
        <f t="shared" si="4"/>
        <v>0.9502235511763384</v>
      </c>
      <c r="AV11">
        <f t="shared" si="5"/>
        <v>0.45022355117633844</v>
      </c>
      <c r="AW11" s="232">
        <f t="shared" si="6"/>
        <v>0.018569099058593445</v>
      </c>
      <c r="AY11">
        <f t="shared" si="15"/>
        <v>1</v>
      </c>
      <c r="AZ11">
        <f t="shared" si="8"/>
        <v>0.01866025403784439</v>
      </c>
      <c r="BA11">
        <f t="shared" si="9"/>
        <v>-0.03732050807568878</v>
      </c>
      <c r="BB11">
        <f t="shared" si="10"/>
        <v>0</v>
      </c>
      <c r="BC11">
        <f t="shared" si="11"/>
        <v>0</v>
      </c>
      <c r="BD11">
        <f t="shared" si="12"/>
        <v>0</v>
      </c>
      <c r="BE11">
        <f t="shared" si="13"/>
        <v>0</v>
      </c>
      <c r="BF11">
        <f t="shared" si="16"/>
        <v>0</v>
      </c>
      <c r="BG11">
        <f t="shared" si="14"/>
        <v>1</v>
      </c>
    </row>
    <row r="12" spans="1:59" ht="15.75">
      <c r="A12" s="72" t="s">
        <v>51</v>
      </c>
      <c r="B12" s="431"/>
      <c r="C12" s="49"/>
      <c r="D12" s="75" t="s">
        <v>51</v>
      </c>
      <c r="E12" s="433">
        <v>2000</v>
      </c>
      <c r="F12" s="37">
        <f>IF(B12&lt;110,B12,110)</f>
        <v>0</v>
      </c>
      <c r="G12" s="104" t="s">
        <v>52</v>
      </c>
      <c r="K12" s="2"/>
      <c r="L12" s="2"/>
      <c r="M12" s="2"/>
      <c r="N12" s="2"/>
      <c r="AD12" s="268" t="s">
        <v>53</v>
      </c>
      <c r="AE12" s="349">
        <f>$F$66/60</f>
        <v>0</v>
      </c>
      <c r="AF12" s="5"/>
      <c r="AG12" s="5"/>
      <c r="AH12" s="5"/>
      <c r="AI12" s="5"/>
      <c r="AJ12" s="5"/>
      <c r="AK12" s="5"/>
      <c r="AL12" s="266"/>
      <c r="AO12">
        <f t="shared" si="0"/>
        <v>57.29577951308232</v>
      </c>
      <c r="AP12">
        <v>1</v>
      </c>
      <c r="AQ12">
        <f t="shared" si="1"/>
        <v>0.019816126899012937</v>
      </c>
      <c r="AR12">
        <f t="shared" si="2"/>
        <v>0.06120871905481362</v>
      </c>
      <c r="AS12" s="232">
        <f t="shared" si="7"/>
        <v>0.025230676391313444</v>
      </c>
      <c r="AT12">
        <f t="shared" si="3"/>
        <v>0.06120871905481362</v>
      </c>
      <c r="AU12">
        <f t="shared" si="4"/>
        <v>0.9387912809451864</v>
      </c>
      <c r="AV12">
        <f t="shared" si="5"/>
        <v>0.4387912809451864</v>
      </c>
      <c r="AW12" s="232">
        <f t="shared" si="6"/>
        <v>0.025230676391313444</v>
      </c>
      <c r="AY12">
        <f t="shared" si="15"/>
        <v>1</v>
      </c>
      <c r="AZ12">
        <f t="shared" si="8"/>
        <v>0.01866025403784439</v>
      </c>
      <c r="BA12">
        <f t="shared" si="9"/>
        <v>-0.03732050807568878</v>
      </c>
      <c r="BB12">
        <f t="shared" si="10"/>
        <v>0</v>
      </c>
      <c r="BC12">
        <f t="shared" si="11"/>
        <v>0</v>
      </c>
      <c r="BD12">
        <f t="shared" si="12"/>
        <v>0</v>
      </c>
      <c r="BE12">
        <f t="shared" si="13"/>
        <v>0</v>
      </c>
      <c r="BF12">
        <f t="shared" si="16"/>
        <v>0</v>
      </c>
      <c r="BG12">
        <f t="shared" si="14"/>
        <v>1</v>
      </c>
    </row>
    <row r="13" spans="1:59" ht="12.75">
      <c r="A13" s="72" t="s">
        <v>54</v>
      </c>
      <c r="B13" s="431"/>
      <c r="C13" s="49"/>
      <c r="D13" s="73" t="s">
        <v>55</v>
      </c>
      <c r="E13" s="19"/>
      <c r="F13" s="38">
        <f>IF(B11&gt;0,10*$B$13*(1/SQRT(E$11)-1/SQRT(B$11)),)</f>
        <v>0</v>
      </c>
      <c r="N13" s="311" t="s">
        <v>57</v>
      </c>
      <c r="O13" s="254"/>
      <c r="P13" s="254" t="s">
        <v>58</v>
      </c>
      <c r="Q13" s="254"/>
      <c r="R13" s="312"/>
      <c r="S13" s="282"/>
      <c r="AD13" s="268" t="s">
        <v>59</v>
      </c>
      <c r="AE13" s="348"/>
      <c r="AF13" s="5"/>
      <c r="AG13" s="5"/>
      <c r="AH13" s="5"/>
      <c r="AI13" s="5"/>
      <c r="AJ13" s="5"/>
      <c r="AK13" s="5"/>
      <c r="AL13" s="266"/>
      <c r="AO13">
        <f t="shared" si="0"/>
        <v>63.02535746439057</v>
      </c>
      <c r="AP13">
        <v>1.1</v>
      </c>
      <c r="AQ13">
        <f t="shared" si="1"/>
        <v>0.026099079992320584</v>
      </c>
      <c r="AR13">
        <f t="shared" si="2"/>
        <v>0.07373773897024716</v>
      </c>
      <c r="AS13" s="232">
        <f t="shared" si="7"/>
        <v>0.03323038072742886</v>
      </c>
      <c r="AT13">
        <f t="shared" si="3"/>
        <v>0.07373773897024716</v>
      </c>
      <c r="AU13">
        <f t="shared" si="4"/>
        <v>0.9262622610297528</v>
      </c>
      <c r="AV13">
        <f t="shared" si="5"/>
        <v>0.42626226102975284</v>
      </c>
      <c r="AW13" s="232">
        <f t="shared" si="6"/>
        <v>0.03323038072742886</v>
      </c>
      <c r="AY13">
        <f t="shared" si="15"/>
        <v>1</v>
      </c>
      <c r="AZ13">
        <f t="shared" si="8"/>
        <v>0.01866025403784439</v>
      </c>
      <c r="BA13">
        <f t="shared" si="9"/>
        <v>-0.03732050807568878</v>
      </c>
      <c r="BB13">
        <f t="shared" si="10"/>
        <v>0</v>
      </c>
      <c r="BC13">
        <f t="shared" si="11"/>
        <v>0</v>
      </c>
      <c r="BD13">
        <f t="shared" si="12"/>
        <v>0</v>
      </c>
      <c r="BE13">
        <f t="shared" si="13"/>
        <v>0</v>
      </c>
      <c r="BF13">
        <f t="shared" si="16"/>
        <v>0</v>
      </c>
      <c r="BG13">
        <f t="shared" si="14"/>
        <v>1</v>
      </c>
    </row>
    <row r="14" spans="1:59" ht="12.75">
      <c r="A14" s="72" t="s">
        <v>60</v>
      </c>
      <c r="B14" s="431"/>
      <c r="C14" s="50"/>
      <c r="D14" s="74" t="s">
        <v>61</v>
      </c>
      <c r="E14" s="51"/>
      <c r="F14" s="38">
        <f>IF(E11&gt;0,10*$B$14*(1/SQRT(E$12)-1/SQRT(E$11)),)</f>
        <v>0</v>
      </c>
      <c r="N14" s="290"/>
      <c r="O14" s="5"/>
      <c r="P14" s="5" t="s">
        <v>62</v>
      </c>
      <c r="Q14" s="5"/>
      <c r="R14" s="13"/>
      <c r="S14" s="283"/>
      <c r="AD14" s="268" t="s">
        <v>63</v>
      </c>
      <c r="AE14" s="350" t="e">
        <f>AF14*AG14*AH14+(AI14*AJ14)</f>
        <v>#DIV/0!</v>
      </c>
      <c r="AF14" s="351" t="e">
        <f>PI()*AE4*AE8*AE12*AE23/(3*(AE23-AE33*AE21))</f>
        <v>#DIV/0!</v>
      </c>
      <c r="AG14" s="351" t="e">
        <f>2*AE23^3-3*AE33*AE23^2*AE21+AE21^3*(3*AE33-2)</f>
        <v>#DIV/0!</v>
      </c>
      <c r="AH14" s="351" t="e">
        <f>AE40*(SIN(AE37)-SIN(AE38))+AE43*(SIN(AE38)-SIN(AE39))</f>
        <v>#DIV/0!</v>
      </c>
      <c r="AI14" s="351" t="e">
        <f>AE8*AE40*(AE12*AE23*PI()/(AE23-AE33*AE21))^3</f>
        <v>#DIV/0!</v>
      </c>
      <c r="AJ14" s="351" t="e">
        <f>(AE23-AE33*AE21)^4-(AE21^4)*(AE33-1)^4</f>
        <v>#DIV/0!</v>
      </c>
      <c r="AK14" s="5">
        <v>12</v>
      </c>
      <c r="AL14" s="266"/>
      <c r="AO14">
        <f t="shared" si="0"/>
        <v>68.75493541569878</v>
      </c>
      <c r="AP14">
        <v>1.2</v>
      </c>
      <c r="AQ14">
        <f t="shared" si="1"/>
        <v>0.03349511425409671</v>
      </c>
      <c r="AR14">
        <f t="shared" si="2"/>
        <v>0.08733219254516084</v>
      </c>
      <c r="AS14" s="232">
        <f t="shared" si="7"/>
        <v>0.042647304023738355</v>
      </c>
      <c r="AT14">
        <f t="shared" si="3"/>
        <v>0.08733219254516084</v>
      </c>
      <c r="AU14">
        <f t="shared" si="4"/>
        <v>0.9126678074548391</v>
      </c>
      <c r="AV14">
        <f t="shared" si="5"/>
        <v>0.41266780745483916</v>
      </c>
      <c r="AW14" s="232">
        <f t="shared" si="6"/>
        <v>0.042647304023738355</v>
      </c>
      <c r="AY14">
        <f t="shared" si="15"/>
        <v>1</v>
      </c>
      <c r="AZ14">
        <f t="shared" si="8"/>
        <v>0.01866025403784439</v>
      </c>
      <c r="BA14">
        <f t="shared" si="9"/>
        <v>-0.03732050807568878</v>
      </c>
      <c r="BB14">
        <f t="shared" si="10"/>
        <v>0</v>
      </c>
      <c r="BC14">
        <f t="shared" si="11"/>
        <v>0</v>
      </c>
      <c r="BD14">
        <f t="shared" si="12"/>
        <v>0</v>
      </c>
      <c r="BE14">
        <f t="shared" si="13"/>
        <v>0</v>
      </c>
      <c r="BF14">
        <f t="shared" si="16"/>
        <v>0</v>
      </c>
      <c r="BG14">
        <f t="shared" si="14"/>
        <v>1</v>
      </c>
    </row>
    <row r="15" spans="1:59" ht="12.75">
      <c r="A15" s="72" t="s">
        <v>64</v>
      </c>
      <c r="B15" s="431"/>
      <c r="C15" s="50"/>
      <c r="D15" s="74" t="s">
        <v>65</v>
      </c>
      <c r="E15" s="147"/>
      <c r="F15" s="77">
        <f>IF(F12&gt;0,10*B$15*(1/SQRT(F$12)-1/SQRT(F$11)),)</f>
        <v>0</v>
      </c>
      <c r="N15" s="290"/>
      <c r="O15" s="5"/>
      <c r="P15" s="5" t="s">
        <v>66</v>
      </c>
      <c r="Q15" s="5"/>
      <c r="R15" s="5"/>
      <c r="S15" s="249"/>
      <c r="AD15" s="268" t="s">
        <v>67</v>
      </c>
      <c r="AE15" s="350" t="e">
        <f>AF15*AG15*AH15+AI15*AJ15</f>
        <v>#DIV/0!</v>
      </c>
      <c r="AF15" s="351" t="e">
        <f>PI()*AE4*AE10*AE12/(3*(AE23-AE24))</f>
        <v>#DIV/0!</v>
      </c>
      <c r="AG15" s="351" t="e">
        <f>AE23^4-4*AE23*AE21^3+3*AE21^4</f>
        <v>#DIV/0!</v>
      </c>
      <c r="AH15" s="351" t="e">
        <f>AE40*(SIN(AE37)-SIN(AE38))+AE43*(SIN(AE38)-SIN(AE39))</f>
        <v>#DIV/0!</v>
      </c>
      <c r="AI15" s="351" t="e">
        <f>(2*(PI()^3)*(AE12^3)*AE10*AE40)/(5*(AE23-AE21))</f>
        <v>#DIV/0!</v>
      </c>
      <c r="AJ15" s="351" t="e">
        <f>(AE23^5)-5*AE23*(AE21^4)+4*(AE21^5)</f>
        <v>#DIV/0!</v>
      </c>
      <c r="AK15" s="5">
        <v>13</v>
      </c>
      <c r="AL15" s="266"/>
      <c r="AO15">
        <f t="shared" si="0"/>
        <v>74.48451336700703</v>
      </c>
      <c r="AP15">
        <v>1.3</v>
      </c>
      <c r="AQ15">
        <f t="shared" si="1"/>
        <v>0.042055226822850886</v>
      </c>
      <c r="AR15">
        <f t="shared" si="2"/>
        <v>0.10195810072547207</v>
      </c>
      <c r="AS15" s="232">
        <f t="shared" si="7"/>
        <v>0.05354637785366067</v>
      </c>
      <c r="AT15">
        <f t="shared" si="3"/>
        <v>0.10195810072547207</v>
      </c>
      <c r="AU15">
        <f t="shared" si="4"/>
        <v>0.8980418992745279</v>
      </c>
      <c r="AV15">
        <f t="shared" si="5"/>
        <v>0.39804189927452793</v>
      </c>
      <c r="AW15" s="232">
        <f t="shared" si="6"/>
        <v>0.05354637785366067</v>
      </c>
      <c r="AY15">
        <f t="shared" si="15"/>
        <v>1</v>
      </c>
      <c r="AZ15">
        <f t="shared" si="8"/>
        <v>0.01866025403784439</v>
      </c>
      <c r="BA15">
        <f t="shared" si="9"/>
        <v>-0.03732050807568878</v>
      </c>
      <c r="BB15">
        <f t="shared" si="10"/>
        <v>0</v>
      </c>
      <c r="BC15">
        <f t="shared" si="11"/>
        <v>0</v>
      </c>
      <c r="BD15">
        <f t="shared" si="12"/>
        <v>0</v>
      </c>
      <c r="BE15">
        <f t="shared" si="13"/>
        <v>0</v>
      </c>
      <c r="BF15">
        <f t="shared" si="16"/>
        <v>0</v>
      </c>
      <c r="BG15">
        <f t="shared" si="14"/>
        <v>1</v>
      </c>
    </row>
    <row r="16" spans="1:59" ht="12.75">
      <c r="A16" s="34"/>
      <c r="B16" s="5"/>
      <c r="C16" s="53"/>
      <c r="D16" s="74" t="s">
        <v>68</v>
      </c>
      <c r="E16" s="147"/>
      <c r="F16" s="38">
        <f>(+F13+F14*E30+F15*F30)*B31</f>
        <v>0</v>
      </c>
      <c r="N16" s="291"/>
      <c r="O16" s="313"/>
      <c r="P16" s="292" t="s">
        <v>69</v>
      </c>
      <c r="Q16" s="292"/>
      <c r="R16" s="292"/>
      <c r="S16" s="256"/>
      <c r="AD16" s="268" t="s">
        <v>70</v>
      </c>
      <c r="AE16" s="350">
        <f>1.68*AE2^2.05*(AE35*(0.667*AE10+AE8))^0.82</f>
        <v>0</v>
      </c>
      <c r="AF16" s="351"/>
      <c r="AG16" s="352">
        <v>14</v>
      </c>
      <c r="AH16" s="351"/>
      <c r="AI16" s="351"/>
      <c r="AJ16" s="351"/>
      <c r="AK16" s="5"/>
      <c r="AL16" s="266"/>
      <c r="AO16">
        <f t="shared" si="0"/>
        <v>80.21409131831524</v>
      </c>
      <c r="AP16">
        <v>1.4</v>
      </c>
      <c r="AQ16">
        <f t="shared" si="1"/>
        <v>0.05181878375144247</v>
      </c>
      <c r="AR16">
        <f t="shared" si="2"/>
        <v>0.11757890635775575</v>
      </c>
      <c r="AS16" s="232">
        <f t="shared" si="7"/>
        <v>0.06597772463241645</v>
      </c>
      <c r="AT16">
        <f t="shared" si="3"/>
        <v>0.11757890635775575</v>
      </c>
      <c r="AU16">
        <f t="shared" si="4"/>
        <v>0.8824210936422443</v>
      </c>
      <c r="AV16">
        <f t="shared" si="5"/>
        <v>0.38242109364224425</v>
      </c>
      <c r="AW16" s="232">
        <f t="shared" si="6"/>
        <v>0.06597772463241645</v>
      </c>
      <c r="AY16">
        <f t="shared" si="15"/>
        <v>1</v>
      </c>
      <c r="AZ16">
        <f t="shared" si="8"/>
        <v>0.01866025403784439</v>
      </c>
      <c r="BA16">
        <f t="shared" si="9"/>
        <v>-0.03732050807568878</v>
      </c>
      <c r="BB16">
        <f t="shared" si="10"/>
        <v>0</v>
      </c>
      <c r="BC16">
        <f t="shared" si="11"/>
        <v>0</v>
      </c>
      <c r="BD16">
        <f t="shared" si="12"/>
        <v>0</v>
      </c>
      <c r="BE16">
        <f t="shared" si="13"/>
        <v>0</v>
      </c>
      <c r="BF16">
        <f t="shared" si="16"/>
        <v>0</v>
      </c>
      <c r="BG16">
        <f t="shared" si="14"/>
        <v>1</v>
      </c>
    </row>
    <row r="17" spans="1:59" ht="15" customHeight="1">
      <c r="A17" s="48" t="s">
        <v>204</v>
      </c>
      <c r="B17" s="431"/>
      <c r="C17" s="53"/>
      <c r="D17" s="74" t="s">
        <v>71</v>
      </c>
      <c r="E17" s="147"/>
      <c r="F17" s="38">
        <f>IF(B12&gt;0,10*B15*F30*(1/SQRT(F12)-1/SQRT(B12)),)</f>
        <v>0</v>
      </c>
      <c r="H17" s="444"/>
      <c r="K17" s="2"/>
      <c r="AD17" s="353" t="s">
        <v>72</v>
      </c>
      <c r="AE17" s="354" t="e">
        <f>AE16+(AE7*(AE14+AE15))</f>
        <v>#DIV/0!</v>
      </c>
      <c r="AF17" s="355"/>
      <c r="AG17" s="355">
        <v>15</v>
      </c>
      <c r="AH17" s="355"/>
      <c r="AI17" s="355"/>
      <c r="AJ17" s="355"/>
      <c r="AK17" s="31"/>
      <c r="AL17" s="266"/>
      <c r="AO17">
        <f t="shared" si="0"/>
        <v>85.94366926962348</v>
      </c>
      <c r="AP17">
        <v>1.5</v>
      </c>
      <c r="AQ17">
        <f t="shared" si="1"/>
        <v>0.0628131266744932</v>
      </c>
      <c r="AR17">
        <f t="shared" si="2"/>
        <v>0.13415556556308955</v>
      </c>
      <c r="AS17" s="232">
        <f t="shared" si="7"/>
        <v>0.07997615681042382</v>
      </c>
      <c r="AT17">
        <f t="shared" si="3"/>
        <v>0.13415556556308955</v>
      </c>
      <c r="AU17">
        <f t="shared" si="4"/>
        <v>0.8658444344369105</v>
      </c>
      <c r="AV17">
        <f t="shared" si="5"/>
        <v>0.36584443443691045</v>
      </c>
      <c r="AW17" s="232"/>
      <c r="AY17">
        <f t="shared" si="15"/>
        <v>1</v>
      </c>
      <c r="AZ17">
        <f t="shared" si="8"/>
        <v>0.01866025403784439</v>
      </c>
      <c r="BA17">
        <f t="shared" si="9"/>
        <v>-0.03732050807568878</v>
      </c>
      <c r="BB17">
        <f t="shared" si="10"/>
        <v>0</v>
      </c>
      <c r="BC17">
        <f t="shared" si="11"/>
        <v>0</v>
      </c>
      <c r="BD17">
        <f t="shared" si="12"/>
        <v>0</v>
      </c>
      <c r="BE17">
        <f t="shared" si="13"/>
        <v>0</v>
      </c>
      <c r="BF17">
        <f t="shared" si="16"/>
        <v>0</v>
      </c>
      <c r="BG17">
        <f t="shared" si="14"/>
        <v>1</v>
      </c>
    </row>
    <row r="18" spans="1:59" ht="15.75">
      <c r="A18" s="34"/>
      <c r="B18" s="9"/>
      <c r="C18" s="53"/>
      <c r="D18" s="134" t="s">
        <v>73</v>
      </c>
      <c r="E18" s="147"/>
      <c r="F18" s="146">
        <f>F16-F17</f>
        <v>0</v>
      </c>
      <c r="H18" s="2"/>
      <c r="AD18" s="268" t="s">
        <v>74</v>
      </c>
      <c r="AE18" s="348"/>
      <c r="AF18" s="5"/>
      <c r="AG18" s="5"/>
      <c r="AH18" s="5"/>
      <c r="AI18" s="5"/>
      <c r="AJ18" s="5"/>
      <c r="AK18" s="5"/>
      <c r="AL18" s="266"/>
      <c r="AO18">
        <f t="shared" si="0"/>
        <v>91.67324722093171</v>
      </c>
      <c r="AP18">
        <v>1.6</v>
      </c>
      <c r="AQ18">
        <f t="shared" si="1"/>
        <v>0.07505329961981187</v>
      </c>
      <c r="AR18">
        <f t="shared" si="2"/>
        <v>0.1516466453264173</v>
      </c>
      <c r="AS18" s="232">
        <f t="shared" si="7"/>
        <v>0.09556082903880103</v>
      </c>
      <c r="AT18">
        <f t="shared" si="3"/>
        <v>0.1516466453264173</v>
      </c>
      <c r="AU18">
        <f t="shared" si="4"/>
        <v>0.8483533546735826</v>
      </c>
      <c r="AV18">
        <f t="shared" si="5"/>
        <v>0.3483533546735827</v>
      </c>
      <c r="AW18" s="232">
        <f aca="true" t="shared" si="17" ref="AW18:AW65">$AQ18/$AQ$67</f>
        <v>0.09556082903880103</v>
      </c>
      <c r="AY18">
        <f t="shared" si="15"/>
        <v>1</v>
      </c>
      <c r="AZ18">
        <f t="shared" si="8"/>
        <v>0.01866025403784439</v>
      </c>
      <c r="BA18">
        <f t="shared" si="9"/>
        <v>-0.03732050807568878</v>
      </c>
      <c r="BB18">
        <f t="shared" si="10"/>
        <v>0</v>
      </c>
      <c r="BC18">
        <f t="shared" si="11"/>
        <v>0</v>
      </c>
      <c r="BD18">
        <f t="shared" si="12"/>
        <v>0</v>
      </c>
      <c r="BE18">
        <f t="shared" si="13"/>
        <v>0</v>
      </c>
      <c r="BF18">
        <f t="shared" si="16"/>
        <v>0</v>
      </c>
      <c r="BG18">
        <f t="shared" si="14"/>
        <v>1</v>
      </c>
    </row>
    <row r="19" spans="1:59" ht="12.75">
      <c r="A19" s="115" t="s">
        <v>75</v>
      </c>
      <c r="B19" s="5"/>
      <c r="C19" s="5"/>
      <c r="D19" s="148" t="s">
        <v>76</v>
      </c>
      <c r="E19" s="148" t="s">
        <v>77</v>
      </c>
      <c r="F19" s="221" t="s">
        <v>78</v>
      </c>
      <c r="H19" s="2"/>
      <c r="AD19" s="268" t="s">
        <v>79</v>
      </c>
      <c r="AE19" s="348"/>
      <c r="AF19" s="5"/>
      <c r="AG19" s="5"/>
      <c r="AH19" s="5"/>
      <c r="AI19" s="5"/>
      <c r="AJ19" s="5"/>
      <c r="AK19" s="5"/>
      <c r="AL19" s="266"/>
      <c r="AO19">
        <f t="shared" si="0"/>
        <v>97.40282517223994</v>
      </c>
      <c r="AP19">
        <v>1.7</v>
      </c>
      <c r="AQ19">
        <f t="shared" si="1"/>
        <v>0.08854189869344142</v>
      </c>
      <c r="AR19">
        <f t="shared" si="2"/>
        <v>0.1700084270575089</v>
      </c>
      <c r="AS19" s="232">
        <f t="shared" si="7"/>
        <v>0.11273504678242426</v>
      </c>
      <c r="AT19">
        <f t="shared" si="3"/>
        <v>0.1700084270575089</v>
      </c>
      <c r="AU19">
        <f t="shared" si="4"/>
        <v>0.8299915729424912</v>
      </c>
      <c r="AV19">
        <f t="shared" si="5"/>
        <v>0.3299915729424911</v>
      </c>
      <c r="AW19" s="232">
        <f t="shared" si="17"/>
        <v>0.11273504678242426</v>
      </c>
      <c r="AY19">
        <f t="shared" si="15"/>
        <v>1</v>
      </c>
      <c r="AZ19">
        <f t="shared" si="8"/>
        <v>0.01866025403784439</v>
      </c>
      <c r="BA19">
        <f t="shared" si="9"/>
        <v>-0.03732050807568878</v>
      </c>
      <c r="BB19">
        <f t="shared" si="10"/>
        <v>0</v>
      </c>
      <c r="BC19">
        <f t="shared" si="11"/>
        <v>0</v>
      </c>
      <c r="BD19">
        <f t="shared" si="12"/>
        <v>0</v>
      </c>
      <c r="BE19">
        <f t="shared" si="13"/>
        <v>0</v>
      </c>
      <c r="BF19">
        <f t="shared" si="16"/>
        <v>0</v>
      </c>
      <c r="BG19">
        <f t="shared" si="14"/>
        <v>1</v>
      </c>
    </row>
    <row r="20" spans="1:59" ht="12.75">
      <c r="A20" s="78"/>
      <c r="B20" s="5"/>
      <c r="C20" s="5"/>
      <c r="D20" s="147"/>
      <c r="E20" s="147"/>
      <c r="F20" s="146"/>
      <c r="H20" s="444"/>
      <c r="AD20" s="268" t="s">
        <v>80</v>
      </c>
      <c r="AE20" s="348"/>
      <c r="AF20" s="5"/>
      <c r="AG20" s="5"/>
      <c r="AH20" s="5"/>
      <c r="AI20" s="5"/>
      <c r="AJ20" s="5"/>
      <c r="AK20" s="5"/>
      <c r="AL20" s="266"/>
      <c r="AO20">
        <f t="shared" si="0"/>
        <v>103.13240312354819</v>
      </c>
      <c r="AP20">
        <v>1.8</v>
      </c>
      <c r="AQ20">
        <f t="shared" si="1"/>
        <v>0.10326904614022561</v>
      </c>
      <c r="AR20">
        <f t="shared" si="2"/>
        <v>0.1891950158646678</v>
      </c>
      <c r="AS20" s="232">
        <f t="shared" si="7"/>
        <v>0.13148623329281536</v>
      </c>
      <c r="AT20">
        <f t="shared" si="3"/>
        <v>0.1891950158646678</v>
      </c>
      <c r="AU20">
        <f t="shared" si="4"/>
        <v>0.8108049841353322</v>
      </c>
      <c r="AV20">
        <f t="shared" si="5"/>
        <v>0.3108049841353322</v>
      </c>
      <c r="AW20" s="232">
        <f t="shared" si="17"/>
        <v>0.13148623329281536</v>
      </c>
      <c r="AY20">
        <f t="shared" si="15"/>
        <v>1</v>
      </c>
      <c r="AZ20">
        <f t="shared" si="8"/>
        <v>0.01866025403784439</v>
      </c>
      <c r="BA20">
        <f t="shared" si="9"/>
        <v>-0.03732050807568878</v>
      </c>
      <c r="BB20">
        <f t="shared" si="10"/>
        <v>0</v>
      </c>
      <c r="BC20">
        <f t="shared" si="11"/>
        <v>0</v>
      </c>
      <c r="BD20">
        <f t="shared" si="12"/>
        <v>0</v>
      </c>
      <c r="BE20">
        <f t="shared" si="13"/>
        <v>0</v>
      </c>
      <c r="BF20">
        <f t="shared" si="16"/>
        <v>0</v>
      </c>
      <c r="BG20">
        <f t="shared" si="14"/>
        <v>1</v>
      </c>
    </row>
    <row r="21" spans="1:59" ht="12.75">
      <c r="A21" s="78" t="s">
        <v>81</v>
      </c>
      <c r="B21" s="431"/>
      <c r="C21" s="53"/>
      <c r="D21" s="145" t="s">
        <v>82</v>
      </c>
      <c r="E21" s="219">
        <f>IF(B21&gt;0,IF(B21=2,1.3,1),1)</f>
        <v>1</v>
      </c>
      <c r="F21" s="146">
        <f>IF(B21&gt;0,IF(B21=2,1.3,1),1)</f>
        <v>1</v>
      </c>
      <c r="H21" s="2"/>
      <c r="AD21" s="268" t="s">
        <v>83</v>
      </c>
      <c r="AE21" s="356" t="e">
        <f>AE23*(1-(2*PI()*AE34*AE6)/(2*PI()+AE37-AE38))^0.5</f>
        <v>#DIV/0!</v>
      </c>
      <c r="AF21" s="5"/>
      <c r="AG21" s="5">
        <v>10</v>
      </c>
      <c r="AH21" s="5"/>
      <c r="AI21" s="5"/>
      <c r="AJ21" s="5"/>
      <c r="AK21" s="5"/>
      <c r="AL21" s="266"/>
      <c r="AO21">
        <f t="shared" si="0"/>
        <v>108.86198107485642</v>
      </c>
      <c r="AP21">
        <v>1.9</v>
      </c>
      <c r="AQ21">
        <f t="shared" si="1"/>
        <v>0.11921248903907318</v>
      </c>
      <c r="AR21">
        <f t="shared" si="2"/>
        <v>0.2091584552680582</v>
      </c>
      <c r="AS21" s="232">
        <f t="shared" si="7"/>
        <v>0.15178605527085512</v>
      </c>
      <c r="AT21">
        <f t="shared" si="3"/>
        <v>0.2091584552680582</v>
      </c>
      <c r="AU21">
        <f t="shared" si="4"/>
        <v>0.7908415447319418</v>
      </c>
      <c r="AV21">
        <f t="shared" si="5"/>
        <v>0.2908415447319418</v>
      </c>
      <c r="AW21" s="232">
        <f t="shared" si="17"/>
        <v>0.15178605527085512</v>
      </c>
      <c r="AY21">
        <f t="shared" si="15"/>
        <v>1</v>
      </c>
      <c r="AZ21">
        <f t="shared" si="8"/>
        <v>0.01866025403784439</v>
      </c>
      <c r="BA21">
        <f t="shared" si="9"/>
        <v>-0.03732050807568878</v>
      </c>
      <c r="BB21">
        <f t="shared" si="10"/>
        <v>0</v>
      </c>
      <c r="BC21">
        <f t="shared" si="11"/>
        <v>0</v>
      </c>
      <c r="BD21">
        <f t="shared" si="12"/>
        <v>0</v>
      </c>
      <c r="BE21">
        <f t="shared" si="13"/>
        <v>0</v>
      </c>
      <c r="BF21">
        <f t="shared" si="16"/>
        <v>0</v>
      </c>
      <c r="BG21">
        <f t="shared" si="14"/>
        <v>1</v>
      </c>
    </row>
    <row r="22" spans="1:59" ht="12.75">
      <c r="A22" s="78" t="s">
        <v>459</v>
      </c>
      <c r="B22" s="431"/>
      <c r="C22" s="53"/>
      <c r="D22" s="145" t="s">
        <v>84</v>
      </c>
      <c r="E22" s="219">
        <f>IF(B22&gt;0,IF(B22=1,1,1),1)</f>
        <v>1</v>
      </c>
      <c r="F22" s="146">
        <f>IF(B22&gt;0,IF(B22=1,1.2,1),1)</f>
        <v>1</v>
      </c>
      <c r="H22" s="2"/>
      <c r="AD22" s="268" t="s">
        <v>85</v>
      </c>
      <c r="AE22" s="356">
        <f>(AE23/2)*(1+(1-(2*PI()*AE6)/(2*PI()+AE37-AE38))^0.5)</f>
        <v>0</v>
      </c>
      <c r="AF22" s="5"/>
      <c r="AG22" s="5">
        <v>7</v>
      </c>
      <c r="AH22" s="5"/>
      <c r="AI22" s="5"/>
      <c r="AJ22" s="5"/>
      <c r="AK22" s="5"/>
      <c r="AL22" s="266"/>
      <c r="AO22">
        <f t="shared" si="0"/>
        <v>114.59155902616465</v>
      </c>
      <c r="AP22">
        <v>2</v>
      </c>
      <c r="AQ22">
        <f t="shared" si="1"/>
        <v>0.1363378216467898</v>
      </c>
      <c r="AR22">
        <f t="shared" si="2"/>
        <v>0.22984884706593012</v>
      </c>
      <c r="AS22" s="232">
        <f t="shared" si="7"/>
        <v>0.17359070596374243</v>
      </c>
      <c r="AT22">
        <f t="shared" si="3"/>
        <v>0.22984884706593012</v>
      </c>
      <c r="AU22">
        <f t="shared" si="4"/>
        <v>0.7701511529340699</v>
      </c>
      <c r="AV22">
        <f t="shared" si="5"/>
        <v>0.2701511529340699</v>
      </c>
      <c r="AW22" s="232">
        <f t="shared" si="17"/>
        <v>0.17359070596374243</v>
      </c>
      <c r="AY22">
        <f t="shared" si="15"/>
        <v>1</v>
      </c>
      <c r="AZ22">
        <f t="shared" si="8"/>
        <v>0.01866025403784439</v>
      </c>
      <c r="BA22">
        <f t="shared" si="9"/>
        <v>-0.03732050807568878</v>
      </c>
      <c r="BB22">
        <f t="shared" si="10"/>
        <v>0</v>
      </c>
      <c r="BC22">
        <f t="shared" si="11"/>
        <v>0</v>
      </c>
      <c r="BD22">
        <f t="shared" si="12"/>
        <v>0</v>
      </c>
      <c r="BE22">
        <f t="shared" si="13"/>
        <v>0</v>
      </c>
      <c r="BF22">
        <f t="shared" si="16"/>
        <v>0</v>
      </c>
      <c r="BG22">
        <f t="shared" si="14"/>
        <v>1</v>
      </c>
    </row>
    <row r="23" spans="1:59" ht="12.75">
      <c r="A23" s="78"/>
      <c r="B23" s="11"/>
      <c r="C23" s="7"/>
      <c r="D23" s="145" t="s">
        <v>86</v>
      </c>
      <c r="E23" s="320">
        <v>1</v>
      </c>
      <c r="F23" s="321">
        <v>1</v>
      </c>
      <c r="H23" s="2"/>
      <c r="AD23" s="268" t="s">
        <v>87</v>
      </c>
      <c r="AE23" s="357">
        <f>AE2/2</f>
        <v>0</v>
      </c>
      <c r="AF23" s="5"/>
      <c r="AG23" s="5"/>
      <c r="AH23" s="5"/>
      <c r="AI23" s="5"/>
      <c r="AJ23" s="5"/>
      <c r="AK23" s="5"/>
      <c r="AL23" s="266"/>
      <c r="AO23">
        <f t="shared" si="0"/>
        <v>120.32113697747288</v>
      </c>
      <c r="AP23">
        <v>2.1</v>
      </c>
      <c r="AQ23">
        <f t="shared" si="1"/>
        <v>0.15459882916889078</v>
      </c>
      <c r="AR23">
        <f t="shared" si="2"/>
        <v>0.2512144760541365</v>
      </c>
      <c r="AS23" s="232">
        <f t="shared" si="7"/>
        <v>0.1968413428675877</v>
      </c>
      <c r="AT23">
        <f t="shared" si="3"/>
        <v>0.2512144760541365</v>
      </c>
      <c r="AU23">
        <f t="shared" si="4"/>
        <v>0.7487855239458635</v>
      </c>
      <c r="AV23">
        <f t="shared" si="5"/>
        <v>0.2487855239458635</v>
      </c>
      <c r="AW23" s="232">
        <f t="shared" si="17"/>
        <v>0.1968413428675877</v>
      </c>
      <c r="AY23">
        <f t="shared" si="15"/>
        <v>1</v>
      </c>
      <c r="AZ23">
        <f t="shared" si="8"/>
        <v>0.01866025403784439</v>
      </c>
      <c r="BA23">
        <f t="shared" si="9"/>
        <v>-0.03732050807568878</v>
      </c>
      <c r="BB23">
        <f t="shared" si="10"/>
        <v>0</v>
      </c>
      <c r="BC23">
        <f t="shared" si="11"/>
        <v>0</v>
      </c>
      <c r="BD23">
        <f t="shared" si="12"/>
        <v>0</v>
      </c>
      <c r="BE23">
        <f t="shared" si="13"/>
        <v>0</v>
      </c>
      <c r="BF23">
        <f t="shared" si="16"/>
        <v>0</v>
      </c>
      <c r="BG23">
        <f t="shared" si="14"/>
        <v>1</v>
      </c>
    </row>
    <row r="24" spans="1:59" ht="12.75">
      <c r="A24" s="35"/>
      <c r="B24" s="49"/>
      <c r="C24" s="49"/>
      <c r="D24" s="145" t="s">
        <v>88</v>
      </c>
      <c r="E24" s="219">
        <f>IF(B14&gt;0,IF(E11&lt;16000*(13/(B14/1.103))^0.5,1,1+(B14/1.103-7)*((E11/(16000*(13/(B14/1.103))^0.5))-1)/(E11/E12)),1)</f>
        <v>1</v>
      </c>
      <c r="F24" s="146">
        <f>IF(B15&gt;0,IF(F11&lt;4000*((13/B15/1.103)^0.5),1,1+(B15/1.103-7)*((F11/(4000*(13/(B15/1.103))^0.5))-1)/(F11/F12)),1)</f>
        <v>1</v>
      </c>
      <c r="G24" s="9"/>
      <c r="AD24" s="268" t="s">
        <v>89</v>
      </c>
      <c r="AE24" s="357">
        <f>AE23*0.25</f>
        <v>0</v>
      </c>
      <c r="AF24" s="5"/>
      <c r="AG24" s="5"/>
      <c r="AH24" s="5"/>
      <c r="AI24" s="5"/>
      <c r="AJ24" s="5"/>
      <c r="AK24" s="5"/>
      <c r="AL24" s="266"/>
      <c r="AO24">
        <f t="shared" si="0"/>
        <v>126.05071492878113</v>
      </c>
      <c r="AP24">
        <v>2.2</v>
      </c>
      <c r="AQ24">
        <f t="shared" si="1"/>
        <v>0.17393794952255126</v>
      </c>
      <c r="AR24">
        <f t="shared" si="2"/>
        <v>0.27320193928721137</v>
      </c>
      <c r="AS24" s="232">
        <f t="shared" si="7"/>
        <v>0.22146467566226088</v>
      </c>
      <c r="AT24">
        <f t="shared" si="3"/>
        <v>0.27320193928721137</v>
      </c>
      <c r="AU24">
        <f t="shared" si="4"/>
        <v>0.7267980607127886</v>
      </c>
      <c r="AV24">
        <f t="shared" si="5"/>
        <v>0.22679806071278863</v>
      </c>
      <c r="AW24" s="232">
        <f t="shared" si="17"/>
        <v>0.22146467566226088</v>
      </c>
      <c r="AY24">
        <f t="shared" si="15"/>
        <v>1</v>
      </c>
      <c r="AZ24">
        <f t="shared" si="8"/>
        <v>0.01866025403784439</v>
      </c>
      <c r="BA24">
        <f t="shared" si="9"/>
        <v>-0.03732050807568878</v>
      </c>
      <c r="BB24">
        <f t="shared" si="10"/>
        <v>0</v>
      </c>
      <c r="BC24">
        <f t="shared" si="11"/>
        <v>0</v>
      </c>
      <c r="BD24">
        <f t="shared" si="12"/>
        <v>0</v>
      </c>
      <c r="BE24">
        <f t="shared" si="13"/>
        <v>0</v>
      </c>
      <c r="BF24">
        <f t="shared" si="16"/>
        <v>0</v>
      </c>
      <c r="BG24">
        <f t="shared" si="14"/>
        <v>1</v>
      </c>
    </row>
    <row r="25" spans="1:59" ht="12.75">
      <c r="A25" s="35"/>
      <c r="B25" s="49"/>
      <c r="C25" s="49"/>
      <c r="D25" s="145" t="s">
        <v>90</v>
      </c>
      <c r="E25" s="219">
        <f>IF(B12&gt;0,IF(E12&lt;75,(E12+10.3)/(1.145*E12),1),1)</f>
        <v>1</v>
      </c>
      <c r="F25" s="146">
        <f>IF(B12&gt;0,IF(F12&lt;75,(F12+10.3)/(1.145*F12),1),1)</f>
        <v>1</v>
      </c>
      <c r="G25" s="9"/>
      <c r="N25" s="305" t="s">
        <v>91</v>
      </c>
      <c r="O25" s="306">
        <f>E11/E12</f>
        <v>7</v>
      </c>
      <c r="AD25" s="268" t="s">
        <v>92</v>
      </c>
      <c r="AE25" s="348"/>
      <c r="AF25" s="5"/>
      <c r="AG25" s="5"/>
      <c r="AH25" s="5"/>
      <c r="AI25" s="5"/>
      <c r="AJ25" s="5"/>
      <c r="AK25" s="5"/>
      <c r="AL25" s="266"/>
      <c r="AO25">
        <f t="shared" si="0"/>
        <v>131.78029288008932</v>
      </c>
      <c r="AP25">
        <v>2.3</v>
      </c>
      <c r="AQ25">
        <f t="shared" si="1"/>
        <v>0.19428684847790995</v>
      </c>
      <c r="AR25">
        <f t="shared" si="2"/>
        <v>0.2957562795579213</v>
      </c>
      <c r="AS25" s="232">
        <f t="shared" si="7"/>
        <v>0.24737369850404362</v>
      </c>
      <c r="AT25">
        <f t="shared" si="3"/>
        <v>0.2957562795579213</v>
      </c>
      <c r="AU25">
        <f t="shared" si="4"/>
        <v>0.7042437204420787</v>
      </c>
      <c r="AV25">
        <f t="shared" si="5"/>
        <v>0.20424372044207872</v>
      </c>
      <c r="AW25" s="232">
        <f t="shared" si="17"/>
        <v>0.24737369850404362</v>
      </c>
      <c r="AY25">
        <f t="shared" si="15"/>
        <v>1</v>
      </c>
      <c r="AZ25">
        <f t="shared" si="8"/>
        <v>0.01866025403784439</v>
      </c>
      <c r="BA25">
        <f t="shared" si="9"/>
        <v>-0.03732050807568878</v>
      </c>
      <c r="BB25">
        <f t="shared" si="10"/>
        <v>0</v>
      </c>
      <c r="BC25">
        <f t="shared" si="11"/>
        <v>0</v>
      </c>
      <c r="BD25">
        <f t="shared" si="12"/>
        <v>0</v>
      </c>
      <c r="BE25">
        <f t="shared" si="13"/>
        <v>0</v>
      </c>
      <c r="BF25">
        <f t="shared" si="16"/>
        <v>0</v>
      </c>
      <c r="BG25">
        <f t="shared" si="14"/>
        <v>1</v>
      </c>
    </row>
    <row r="26" spans="1:59" ht="12.75">
      <c r="A26" s="39"/>
      <c r="B26" s="49"/>
      <c r="C26" s="49"/>
      <c r="D26" s="145" t="s">
        <v>93</v>
      </c>
      <c r="E26" s="219">
        <f>IF(B60&gt;0,IF(O27&lt;-2,1+(O27^2)/150,IF(O27&gt;2,1+(O27^2)/150,1)),1)</f>
        <v>1</v>
      </c>
      <c r="F26" s="321">
        <v>1</v>
      </c>
      <c r="G26" s="9"/>
      <c r="N26" s="307" t="s">
        <v>94</v>
      </c>
      <c r="O26" s="308" t="e">
        <f>8+5*(B61-0.5)/F64</f>
        <v>#DIV/0!</v>
      </c>
      <c r="AD26" s="268" t="s">
        <v>95</v>
      </c>
      <c r="AE26" s="349" t="e">
        <f>AF26/(AF26+AF27*(100-AF26))</f>
        <v>#DIV/0!</v>
      </c>
      <c r="AF26" s="358">
        <f>$B$68*100</f>
        <v>0</v>
      </c>
      <c r="AG26" s="5"/>
      <c r="AH26" s="5"/>
      <c r="AI26" s="5"/>
      <c r="AJ26" s="5"/>
      <c r="AK26" s="5"/>
      <c r="AL26" s="266"/>
      <c r="AO26">
        <f t="shared" si="0"/>
        <v>137.50987083139756</v>
      </c>
      <c r="AP26">
        <v>2.4</v>
      </c>
      <c r="AQ26">
        <f t="shared" si="1"/>
        <v>0.2155671024311061</v>
      </c>
      <c r="AR26">
        <f t="shared" si="2"/>
        <v>0.3188211227616632</v>
      </c>
      <c r="AS26" s="232">
        <f t="shared" si="7"/>
        <v>0.27446855935925973</v>
      </c>
      <c r="AT26">
        <f t="shared" si="3"/>
        <v>0.3188211227616632</v>
      </c>
      <c r="AU26">
        <f t="shared" si="4"/>
        <v>0.6811788772383368</v>
      </c>
      <c r="AV26">
        <f t="shared" si="5"/>
        <v>0.1811788772383368</v>
      </c>
      <c r="AW26" s="232">
        <f t="shared" si="17"/>
        <v>0.27446855935925973</v>
      </c>
      <c r="AY26">
        <f t="shared" si="15"/>
        <v>1</v>
      </c>
      <c r="AZ26">
        <f t="shared" si="8"/>
        <v>0.01866025403784439</v>
      </c>
      <c r="BA26">
        <f t="shared" si="9"/>
        <v>-0.03732050807568878</v>
      </c>
      <c r="BB26">
        <f t="shared" si="10"/>
        <v>0</v>
      </c>
      <c r="BC26">
        <f t="shared" si="11"/>
        <v>0</v>
      </c>
      <c r="BD26">
        <f t="shared" si="12"/>
        <v>0</v>
      </c>
      <c r="BE26">
        <f t="shared" si="13"/>
        <v>0</v>
      </c>
      <c r="BF26">
        <f t="shared" si="16"/>
        <v>0</v>
      </c>
      <c r="BG26">
        <f t="shared" si="14"/>
        <v>1</v>
      </c>
    </row>
    <row r="27" spans="1:59" ht="12.75">
      <c r="A27" s="40"/>
      <c r="B27" s="5"/>
      <c r="C27" s="7"/>
      <c r="D27" s="145" t="s">
        <v>96</v>
      </c>
      <c r="E27" s="320">
        <v>1</v>
      </c>
      <c r="F27" s="146">
        <f>IF(B12&gt;0,IF(F11/F12&lt;6,1+0.26/(2*(F11/F12-1.35)),1),1)</f>
        <v>1</v>
      </c>
      <c r="G27" s="9"/>
      <c r="N27" s="309" t="s">
        <v>97</v>
      </c>
      <c r="O27" s="310" t="e">
        <f>O25-O26</f>
        <v>#DIV/0!</v>
      </c>
      <c r="AD27" s="268" t="s">
        <v>98</v>
      </c>
      <c r="AE27" s="356" t="e">
        <f>(2*PI()-AE38+AE37)/(2*PI()*(AE12/2))</f>
        <v>#DIV/0!</v>
      </c>
      <c r="AF27" s="365">
        <f>$B$10</f>
        <v>0</v>
      </c>
      <c r="AG27" s="5">
        <v>6</v>
      </c>
      <c r="AH27" s="5"/>
      <c r="AI27" s="5"/>
      <c r="AJ27" s="5"/>
      <c r="AK27" s="5"/>
      <c r="AL27" s="266"/>
      <c r="AO27">
        <f t="shared" si="0"/>
        <v>143.2394487827058</v>
      </c>
      <c r="AP27">
        <v>2.5</v>
      </c>
      <c r="AQ27">
        <f t="shared" si="1"/>
        <v>0.23769098198700545</v>
      </c>
      <c r="AR27">
        <f t="shared" si="2"/>
        <v>0.34233881880236566</v>
      </c>
      <c r="AS27" s="232">
        <f t="shared" si="7"/>
        <v>0.3026375576927886</v>
      </c>
      <c r="AT27">
        <f t="shared" si="3"/>
        <v>0.34233881880236566</v>
      </c>
      <c r="AU27">
        <f t="shared" si="4"/>
        <v>0.6576611811976343</v>
      </c>
      <c r="AV27">
        <f t="shared" si="5"/>
        <v>0.15766118119763434</v>
      </c>
      <c r="AW27" s="232">
        <f t="shared" si="17"/>
        <v>0.3026375576927886</v>
      </c>
      <c r="AY27">
        <f t="shared" si="15"/>
        <v>1</v>
      </c>
      <c r="AZ27">
        <f t="shared" si="8"/>
        <v>0.01866025403784439</v>
      </c>
      <c r="BA27">
        <f t="shared" si="9"/>
        <v>-0.03732050807568878</v>
      </c>
      <c r="BB27">
        <f t="shared" si="10"/>
        <v>0</v>
      </c>
      <c r="BC27">
        <f t="shared" si="11"/>
        <v>0</v>
      </c>
      <c r="BD27">
        <f t="shared" si="12"/>
        <v>0</v>
      </c>
      <c r="BE27">
        <f t="shared" si="13"/>
        <v>0</v>
      </c>
      <c r="BF27">
        <f t="shared" si="16"/>
        <v>0</v>
      </c>
      <c r="BG27">
        <f t="shared" si="14"/>
        <v>1</v>
      </c>
    </row>
    <row r="28" spans="1:59" ht="12.75">
      <c r="A28" s="40"/>
      <c r="B28" s="5"/>
      <c r="C28" s="7"/>
      <c r="D28" s="127" t="s">
        <v>99</v>
      </c>
      <c r="E28" s="322">
        <v>1</v>
      </c>
      <c r="F28" s="323">
        <v>1</v>
      </c>
      <c r="G28" s="9"/>
      <c r="H28" s="4"/>
      <c r="AD28" s="268" t="s">
        <v>100</v>
      </c>
      <c r="AE28" s="356">
        <f>(2*AE22*(SIN(AE37)-SIN(AE38))/AE4)^0.5</f>
        <v>0</v>
      </c>
      <c r="AF28" s="5"/>
      <c r="AG28" s="5">
        <v>8</v>
      </c>
      <c r="AH28" s="5"/>
      <c r="AI28" s="5"/>
      <c r="AJ28" s="5"/>
      <c r="AK28" s="5"/>
      <c r="AL28" s="266"/>
      <c r="AO28">
        <f t="shared" si="0"/>
        <v>148.96902673401405</v>
      </c>
      <c r="AP28">
        <v>2.6</v>
      </c>
      <c r="AQ28">
        <f t="shared" si="1"/>
        <v>0.260562328522317</v>
      </c>
      <c r="AR28">
        <f t="shared" si="2"/>
        <v>0.3662505856877063</v>
      </c>
      <c r="AS28" s="232">
        <f t="shared" si="7"/>
        <v>0.33175826054288876</v>
      </c>
      <c r="AT28">
        <f t="shared" si="3"/>
        <v>0.3662505856877063</v>
      </c>
      <c r="AU28">
        <f t="shared" si="4"/>
        <v>0.6337494143122937</v>
      </c>
      <c r="AV28">
        <f t="shared" si="5"/>
        <v>0.1337494143122937</v>
      </c>
      <c r="AW28" s="232">
        <f t="shared" si="17"/>
        <v>0.33175826054288876</v>
      </c>
      <c r="AY28">
        <f t="shared" si="15"/>
        <v>1</v>
      </c>
      <c r="AZ28">
        <f t="shared" si="8"/>
        <v>0.01866025403784439</v>
      </c>
      <c r="BA28">
        <f t="shared" si="9"/>
        <v>-0.03732050807568878</v>
      </c>
      <c r="BB28">
        <f t="shared" si="10"/>
        <v>0</v>
      </c>
      <c r="BC28">
        <f t="shared" si="11"/>
        <v>0</v>
      </c>
      <c r="BD28">
        <f t="shared" si="12"/>
        <v>0</v>
      </c>
      <c r="BE28">
        <f t="shared" si="13"/>
        <v>0</v>
      </c>
      <c r="BF28">
        <f t="shared" si="16"/>
        <v>0</v>
      </c>
      <c r="BG28">
        <f t="shared" si="14"/>
        <v>1</v>
      </c>
    </row>
    <row r="29" spans="1:59" ht="12.75">
      <c r="A29" s="40"/>
      <c r="B29" s="5"/>
      <c r="C29" s="7"/>
      <c r="D29" s="127"/>
      <c r="E29" s="206"/>
      <c r="F29" s="159"/>
      <c r="G29" s="9"/>
      <c r="H29" s="4"/>
      <c r="AD29" s="268" t="s">
        <v>101</v>
      </c>
      <c r="AE29" s="359">
        <v>1</v>
      </c>
      <c r="AF29" s="5"/>
      <c r="AG29" s="5"/>
      <c r="AH29" s="5"/>
      <c r="AI29" s="5"/>
      <c r="AJ29" s="5"/>
      <c r="AK29" s="5"/>
      <c r="AL29" s="266"/>
      <c r="AO29">
        <f t="shared" si="0"/>
        <v>154.6986046853223</v>
      </c>
      <c r="AP29">
        <v>2.7</v>
      </c>
      <c r="AQ29">
        <f t="shared" si="1"/>
        <v>0.28407751497077127</v>
      </c>
      <c r="AR29">
        <f t="shared" si="2"/>
        <v>0.39049665645347925</v>
      </c>
      <c r="AS29" s="232">
        <f t="shared" si="7"/>
        <v>0.3616987258308812</v>
      </c>
      <c r="AT29">
        <f t="shared" si="3"/>
        <v>0.39049665645347925</v>
      </c>
      <c r="AU29">
        <f t="shared" si="4"/>
        <v>0.6095033435465207</v>
      </c>
      <c r="AV29">
        <f t="shared" si="5"/>
        <v>0.10950334354652075</v>
      </c>
      <c r="AW29" s="232">
        <f t="shared" si="17"/>
        <v>0.3616987258308812</v>
      </c>
      <c r="AY29">
        <f t="shared" si="15"/>
        <v>1</v>
      </c>
      <c r="AZ29">
        <f t="shared" si="8"/>
        <v>0.01866025403784439</v>
      </c>
      <c r="BA29">
        <f t="shared" si="9"/>
        <v>-0.03732050807568878</v>
      </c>
      <c r="BB29">
        <f t="shared" si="10"/>
        <v>0</v>
      </c>
      <c r="BC29">
        <f t="shared" si="11"/>
        <v>0</v>
      </c>
      <c r="BD29">
        <f t="shared" si="12"/>
        <v>0</v>
      </c>
      <c r="BE29">
        <f t="shared" si="13"/>
        <v>0</v>
      </c>
      <c r="BF29">
        <f t="shared" si="16"/>
        <v>0</v>
      </c>
      <c r="BG29">
        <f t="shared" si="14"/>
        <v>1</v>
      </c>
    </row>
    <row r="30" spans="1:59" ht="12.75">
      <c r="A30" s="34"/>
      <c r="B30" s="5"/>
      <c r="C30" s="7"/>
      <c r="D30" s="155" t="s">
        <v>102</v>
      </c>
      <c r="E30" s="220">
        <f>E24*E25*E26*E27*E28</f>
        <v>1</v>
      </c>
      <c r="F30" s="222">
        <f>F24*F25*F26*F27*F28*F22</f>
        <v>1</v>
      </c>
      <c r="G30" s="9"/>
      <c r="H30" s="4"/>
      <c r="AD30" s="268" t="s">
        <v>105</v>
      </c>
      <c r="AE30" s="348"/>
      <c r="AF30" s="5"/>
      <c r="AG30" s="5"/>
      <c r="AH30" s="5"/>
      <c r="AI30" s="5"/>
      <c r="AJ30" s="5"/>
      <c r="AK30" s="5"/>
      <c r="AL30" s="266"/>
      <c r="AO30">
        <f t="shared" si="0"/>
        <v>160.42818263663048</v>
      </c>
      <c r="AP30">
        <v>2.8</v>
      </c>
      <c r="AQ30">
        <f t="shared" si="1"/>
        <v>0.30812648123051184</v>
      </c>
      <c r="AR30">
        <f t="shared" si="2"/>
        <v>0.41501642854987947</v>
      </c>
      <c r="AS30" s="232">
        <f t="shared" si="7"/>
        <v>0.39231882068278456</v>
      </c>
      <c r="AT30">
        <f t="shared" si="3"/>
        <v>0.41501642854987947</v>
      </c>
      <c r="AU30">
        <f t="shared" si="4"/>
        <v>0.5849835714501206</v>
      </c>
      <c r="AV30">
        <f t="shared" si="5"/>
        <v>0.08498357145012053</v>
      </c>
      <c r="AW30" s="232">
        <f t="shared" si="17"/>
        <v>0.39231882068278456</v>
      </c>
      <c r="AY30">
        <f t="shared" si="15"/>
        <v>1</v>
      </c>
      <c r="AZ30">
        <f t="shared" si="8"/>
        <v>0.01866025403784439</v>
      </c>
      <c r="BA30">
        <f t="shared" si="9"/>
        <v>-0.03732050807568878</v>
      </c>
      <c r="BB30">
        <f t="shared" si="10"/>
        <v>0</v>
      </c>
      <c r="BC30">
        <f t="shared" si="11"/>
        <v>0</v>
      </c>
      <c r="BD30">
        <f t="shared" si="12"/>
        <v>0</v>
      </c>
      <c r="BE30">
        <f t="shared" si="13"/>
        <v>0</v>
      </c>
      <c r="BF30">
        <f t="shared" si="16"/>
        <v>0</v>
      </c>
      <c r="BG30">
        <f t="shared" si="14"/>
        <v>1</v>
      </c>
    </row>
    <row r="31" spans="1:59" ht="12.75">
      <c r="A31" s="35" t="s">
        <v>205</v>
      </c>
      <c r="B31" s="475">
        <v>1.25</v>
      </c>
      <c r="C31" s="5"/>
      <c r="D31" s="155"/>
      <c r="E31" s="220"/>
      <c r="F31" s="222"/>
      <c r="H31" s="442" t="s">
        <v>108</v>
      </c>
      <c r="I31" s="443" t="s">
        <v>109</v>
      </c>
      <c r="J31" s="443">
        <v>1.25</v>
      </c>
      <c r="K31" t="s">
        <v>104</v>
      </c>
      <c r="AD31" s="268" t="s">
        <v>110</v>
      </c>
      <c r="AE31" s="348"/>
      <c r="AF31" s="5"/>
      <c r="AG31" s="5"/>
      <c r="AH31" s="5"/>
      <c r="AI31" s="5"/>
      <c r="AJ31" s="5"/>
      <c r="AK31" s="5"/>
      <c r="AL31" s="266"/>
      <c r="AO31">
        <f t="shared" si="0"/>
        <v>166.15776058793872</v>
      </c>
      <c r="AP31">
        <v>2.9</v>
      </c>
      <c r="AQ31">
        <f t="shared" si="1"/>
        <v>0.3325938338482522</v>
      </c>
      <c r="AR31">
        <f t="shared" si="2"/>
        <v>0.4397486153163167</v>
      </c>
      <c r="AS31" s="232">
        <f t="shared" si="7"/>
        <v>0.423471621590671</v>
      </c>
      <c r="AT31">
        <f t="shared" si="3"/>
        <v>0.4397486153163167</v>
      </c>
      <c r="AU31">
        <f t="shared" si="4"/>
        <v>0.5602513846836833</v>
      </c>
      <c r="AV31">
        <f t="shared" si="5"/>
        <v>0.060251384683683296</v>
      </c>
      <c r="AW31" s="232">
        <f t="shared" si="17"/>
        <v>0.423471621590671</v>
      </c>
      <c r="AY31">
        <f t="shared" si="15"/>
        <v>1</v>
      </c>
      <c r="AZ31">
        <f t="shared" si="8"/>
        <v>0.01866025403784439</v>
      </c>
      <c r="BA31">
        <f t="shared" si="9"/>
        <v>-0.03732050807568878</v>
      </c>
      <c r="BB31">
        <f t="shared" si="10"/>
        <v>0</v>
      </c>
      <c r="BC31">
        <f t="shared" si="11"/>
        <v>0</v>
      </c>
      <c r="BD31">
        <f t="shared" si="12"/>
        <v>0</v>
      </c>
      <c r="BE31">
        <f t="shared" si="13"/>
        <v>0</v>
      </c>
      <c r="BF31">
        <f t="shared" si="16"/>
        <v>0</v>
      </c>
      <c r="BG31">
        <f t="shared" si="14"/>
        <v>1</v>
      </c>
    </row>
    <row r="32" spans="1:59" ht="12.75">
      <c r="A32" s="34"/>
      <c r="B32" s="5"/>
      <c r="C32" s="5"/>
      <c r="D32" s="126"/>
      <c r="E32" s="75" t="s">
        <v>111</v>
      </c>
      <c r="F32" s="159">
        <f>(F13+F14*E30+F15*F30)*B31-F17*1</f>
        <v>0</v>
      </c>
      <c r="H32" s="4"/>
      <c r="AD32" s="268" t="s">
        <v>112</v>
      </c>
      <c r="AE32" s="348"/>
      <c r="AF32" s="5"/>
      <c r="AG32" s="5"/>
      <c r="AH32" s="5"/>
      <c r="AI32" s="5"/>
      <c r="AJ32" s="5"/>
      <c r="AK32" s="5"/>
      <c r="AL32" s="266"/>
      <c r="AO32">
        <f t="shared" si="0"/>
        <v>171.88733853924697</v>
      </c>
      <c r="AP32">
        <v>3</v>
      </c>
      <c r="AQ32">
        <f t="shared" si="1"/>
        <v>0.3573599989925166</v>
      </c>
      <c r="AR32">
        <f t="shared" si="2"/>
        <v>0.46463139916614854</v>
      </c>
      <c r="AS32" s="232">
        <f t="shared" si="7"/>
        <v>0.45500488242379</v>
      </c>
      <c r="AT32">
        <f t="shared" si="3"/>
        <v>0.46463139916614854</v>
      </c>
      <c r="AU32">
        <f t="shared" si="4"/>
        <v>0.5353686008338514</v>
      </c>
      <c r="AV32">
        <f t="shared" si="5"/>
        <v>0.03536860083385146</v>
      </c>
      <c r="AW32" s="232">
        <f t="shared" si="17"/>
        <v>0.45500488242379</v>
      </c>
      <c r="AY32">
        <f t="shared" si="15"/>
        <v>1</v>
      </c>
      <c r="AZ32">
        <f t="shared" si="8"/>
        <v>0.01866025403784439</v>
      </c>
      <c r="BA32">
        <f t="shared" si="9"/>
        <v>-0.03732050807568878</v>
      </c>
      <c r="BB32">
        <f t="shared" si="10"/>
        <v>0</v>
      </c>
      <c r="BC32">
        <f t="shared" si="11"/>
        <v>0</v>
      </c>
      <c r="BD32">
        <f t="shared" si="12"/>
        <v>0</v>
      </c>
      <c r="BE32">
        <f t="shared" si="13"/>
        <v>0</v>
      </c>
      <c r="BF32">
        <f t="shared" si="16"/>
        <v>0</v>
      </c>
      <c r="BG32">
        <f t="shared" si="14"/>
        <v>1</v>
      </c>
    </row>
    <row r="33" spans="1:59" ht="12.75">
      <c r="A33" s="41"/>
      <c r="B33" s="5"/>
      <c r="C33" s="5"/>
      <c r="D33" s="126"/>
      <c r="E33" s="18" t="s">
        <v>113</v>
      </c>
      <c r="F33" s="159">
        <f>F32*F21*1</f>
        <v>0</v>
      </c>
      <c r="G33" s="10"/>
      <c r="H33" s="121">
        <f>F16-F17</f>
        <v>0</v>
      </c>
      <c r="K33" s="2"/>
      <c r="L33" s="4"/>
      <c r="M33" s="4"/>
      <c r="N33" s="4"/>
      <c r="AD33" s="268" t="s">
        <v>114</v>
      </c>
      <c r="AE33" s="356">
        <f>(1-AE6)^0.4532</f>
        <v>1</v>
      </c>
      <c r="AF33" s="5"/>
      <c r="AG33" s="5">
        <v>11</v>
      </c>
      <c r="AH33" s="5"/>
      <c r="AI33" s="5"/>
      <c r="AJ33" s="5"/>
      <c r="AK33" s="5"/>
      <c r="AL33" s="266"/>
      <c r="AO33">
        <f t="shared" si="0"/>
        <v>177.6169164905552</v>
      </c>
      <c r="AP33">
        <v>3.1</v>
      </c>
      <c r="AQ33">
        <f t="shared" si="1"/>
        <v>0.3823024171958387</v>
      </c>
      <c r="AR33">
        <f t="shared" si="2"/>
        <v>0.4896025860984538</v>
      </c>
      <c r="AS33" s="232">
        <f t="shared" si="7"/>
        <v>0.4867625556215819</v>
      </c>
      <c r="AT33">
        <f t="shared" si="3"/>
        <v>0.4896025860984538</v>
      </c>
      <c r="AU33">
        <f t="shared" si="4"/>
        <v>0.5103974139015461</v>
      </c>
      <c r="AV33">
        <f t="shared" si="5"/>
        <v>0.010397413901546193</v>
      </c>
      <c r="AW33" s="232">
        <f t="shared" si="17"/>
        <v>0.4867625556215819</v>
      </c>
      <c r="AY33">
        <f t="shared" si="15"/>
        <v>1</v>
      </c>
      <c r="AZ33">
        <f t="shared" si="8"/>
        <v>0.01866025403784439</v>
      </c>
      <c r="BA33">
        <f t="shared" si="9"/>
        <v>-0.03732050807568878</v>
      </c>
      <c r="BB33">
        <f t="shared" si="10"/>
        <v>0</v>
      </c>
      <c r="BC33">
        <f t="shared" si="11"/>
        <v>0</v>
      </c>
      <c r="BD33">
        <f t="shared" si="12"/>
        <v>0</v>
      </c>
      <c r="BE33">
        <f t="shared" si="13"/>
        <v>0</v>
      </c>
      <c r="BF33">
        <f t="shared" si="16"/>
        <v>0</v>
      </c>
      <c r="BG33">
        <f t="shared" si="14"/>
        <v>1</v>
      </c>
    </row>
    <row r="34" spans="1:59" ht="12.75">
      <c r="A34" s="41"/>
      <c r="B34" s="5"/>
      <c r="C34" s="18"/>
      <c r="D34" s="126"/>
      <c r="E34" s="161"/>
      <c r="F34" s="159"/>
      <c r="G34" s="10"/>
      <c r="H34" s="4"/>
      <c r="K34" s="2"/>
      <c r="L34" s="4"/>
      <c r="M34" s="4"/>
      <c r="N34" s="4"/>
      <c r="AD34" s="360" t="s">
        <v>115</v>
      </c>
      <c r="AE34" s="356" t="e">
        <f>AE27/(AE28+AE27)</f>
        <v>#DIV/0!</v>
      </c>
      <c r="AF34" s="5"/>
      <c r="AG34" s="5">
        <v>9</v>
      </c>
      <c r="AH34" s="5"/>
      <c r="AI34" s="5"/>
      <c r="AJ34" s="5"/>
      <c r="AK34" s="5"/>
      <c r="AL34" s="266"/>
      <c r="AO34">
        <f t="shared" si="0"/>
        <v>183.34649444186343</v>
      </c>
      <c r="AP34">
        <v>3.2</v>
      </c>
      <c r="AQ34">
        <f t="shared" si="1"/>
        <v>0.40729676792844755</v>
      </c>
      <c r="AR34">
        <f t="shared" si="2"/>
        <v>0.5145997611506444</v>
      </c>
      <c r="AS34" s="232">
        <f t="shared" si="7"/>
        <v>0.5185863513693197</v>
      </c>
      <c r="AT34">
        <f t="shared" si="3"/>
        <v>0.5145997611506444</v>
      </c>
      <c r="AU34">
        <f t="shared" si="4"/>
        <v>0.48540023884935557</v>
      </c>
      <c r="AV34">
        <f t="shared" si="5"/>
        <v>-0.01459976115064443</v>
      </c>
      <c r="AW34" s="232">
        <f t="shared" si="17"/>
        <v>0.5185863513693197</v>
      </c>
      <c r="AY34">
        <f t="shared" si="15"/>
        <v>1</v>
      </c>
      <c r="AZ34">
        <f t="shared" si="8"/>
        <v>0.01866025403784439</v>
      </c>
      <c r="BA34">
        <f t="shared" si="9"/>
        <v>-0.03732050807568878</v>
      </c>
      <c r="BB34">
        <f t="shared" si="10"/>
        <v>0</v>
      </c>
      <c r="BC34">
        <f t="shared" si="11"/>
        <v>0</v>
      </c>
      <c r="BD34">
        <f t="shared" si="12"/>
        <v>0</v>
      </c>
      <c r="BE34">
        <f t="shared" si="13"/>
        <v>0</v>
      </c>
      <c r="BF34">
        <f t="shared" si="16"/>
        <v>0</v>
      </c>
      <c r="BG34">
        <f t="shared" si="14"/>
        <v>1</v>
      </c>
    </row>
    <row r="35" spans="1:59" ht="20.25" customHeight="1" thickBot="1">
      <c r="A35" s="109"/>
      <c r="B35" s="204"/>
      <c r="C35" s="204"/>
      <c r="D35" s="223"/>
      <c r="E35" s="224" t="s">
        <v>116</v>
      </c>
      <c r="F35" s="225">
        <f>ROUNDUP(F33*B9,1)</f>
        <v>0</v>
      </c>
      <c r="G35" s="11"/>
      <c r="H35" s="4"/>
      <c r="K35" s="2"/>
      <c r="L35" s="3"/>
      <c r="M35" s="3"/>
      <c r="N35" s="3"/>
      <c r="AD35" s="360" t="s">
        <v>117</v>
      </c>
      <c r="AE35" s="349">
        <f>$B$66</f>
        <v>0.75</v>
      </c>
      <c r="AF35" s="5" t="s">
        <v>118</v>
      </c>
      <c r="AG35" s="5"/>
      <c r="AH35" s="5"/>
      <c r="AI35" s="5"/>
      <c r="AJ35" s="5"/>
      <c r="AK35" s="5"/>
      <c r="AL35" s="266"/>
      <c r="AO35">
        <f aca="true" t="shared" si="18" ref="AO35:AO65">180*AP35/PI()</f>
        <v>189.07607239317167</v>
      </c>
      <c r="AP35">
        <v>3.3</v>
      </c>
      <c r="AQ35">
        <f aca="true" t="shared" si="19" ref="AQ35:AQ65">0.5*($AQ$1/2)^2*(AP35-SIN(AP35))</f>
        <v>0.432218211767906</v>
      </c>
      <c r="AR35">
        <f aca="true" t="shared" si="20" ref="AR35:AR65">$AQ$1*(1-COS(AP35/2))/2</f>
        <v>0.5395604444033669</v>
      </c>
      <c r="AS35" s="232">
        <f t="shared" si="7"/>
        <v>0.5503173191776147</v>
      </c>
      <c r="AT35">
        <f aca="true" t="shared" si="21" ref="AT35:AT65">AR35/$AQ$1</f>
        <v>0.5395604444033669</v>
      </c>
      <c r="AU35">
        <f aca="true" t="shared" si="22" ref="AU35:AU65">1-AT35</f>
        <v>0.4604395555966331</v>
      </c>
      <c r="AV35">
        <f aca="true" t="shared" si="23" ref="AV35:AV65">0.5-AT35</f>
        <v>-0.03956044440336692</v>
      </c>
      <c r="AW35" s="232">
        <f t="shared" si="17"/>
        <v>0.5503173191776147</v>
      </c>
      <c r="AY35">
        <f t="shared" si="15"/>
        <v>1</v>
      </c>
      <c r="AZ35">
        <f t="shared" si="8"/>
        <v>0.01866025403784439</v>
      </c>
      <c r="BA35">
        <f t="shared" si="9"/>
        <v>-0.03732050807568878</v>
      </c>
      <c r="BB35">
        <f t="shared" si="10"/>
        <v>0</v>
      </c>
      <c r="BC35">
        <f t="shared" si="11"/>
        <v>0</v>
      </c>
      <c r="BD35">
        <f t="shared" si="12"/>
        <v>0</v>
      </c>
      <c r="BE35">
        <f t="shared" si="13"/>
        <v>0</v>
      </c>
      <c r="BF35">
        <f t="shared" si="16"/>
        <v>0</v>
      </c>
      <c r="BG35">
        <f t="shared" si="14"/>
        <v>1</v>
      </c>
    </row>
    <row r="36" spans="1:59" ht="20.25" customHeight="1">
      <c r="A36" s="109"/>
      <c r="C36" s="7"/>
      <c r="D36" s="7"/>
      <c r="E36" s="18" t="s">
        <v>206</v>
      </c>
      <c r="F36" s="503">
        <f>IF(B11&gt;0,10*B$15*(1/SQRT(B$17)-1/SQRT(B$11))*B9,)</f>
        <v>0</v>
      </c>
      <c r="G36" s="11"/>
      <c r="H36" s="4"/>
      <c r="K36" s="2"/>
      <c r="L36" s="3"/>
      <c r="M36" s="3"/>
      <c r="N36" s="3"/>
      <c r="AD36" s="360" t="s">
        <v>119</v>
      </c>
      <c r="AE36" s="356">
        <f>IF(AE35&gt;0.35*(3.364-AE6),AE35,0.35*(3.364-AE6))</f>
        <v>1.1773999999999998</v>
      </c>
      <c r="AF36" s="5"/>
      <c r="AG36" s="5">
        <v>2</v>
      </c>
      <c r="AH36" s="5"/>
      <c r="AI36" s="5"/>
      <c r="AJ36" s="5"/>
      <c r="AK36" s="5"/>
      <c r="AL36" s="266"/>
      <c r="AO36">
        <f t="shared" si="18"/>
        <v>194.8056503444799</v>
      </c>
      <c r="AP36">
        <v>3.4</v>
      </c>
      <c r="AQ36">
        <f t="shared" si="19"/>
        <v>0.45694263775335386</v>
      </c>
      <c r="AR36">
        <f t="shared" si="20"/>
        <v>0.5644222471477623</v>
      </c>
      <c r="AS36" s="232">
        <f aca="true" t="shared" si="24" ref="AS36:AS65">AQ36/$AQ$67</f>
        <v>0.5817974360631647</v>
      </c>
      <c r="AT36">
        <f t="shared" si="21"/>
        <v>0.5644222471477623</v>
      </c>
      <c r="AU36">
        <f t="shared" si="22"/>
        <v>0.43557775285223765</v>
      </c>
      <c r="AV36">
        <f t="shared" si="23"/>
        <v>-0.06442224714776235</v>
      </c>
      <c r="AW36" s="232">
        <f t="shared" si="17"/>
        <v>0.5817974360631647</v>
      </c>
      <c r="AY36">
        <f t="shared" si="15"/>
        <v>1</v>
      </c>
      <c r="AZ36">
        <f t="shared" si="8"/>
        <v>0.01866025403784439</v>
      </c>
      <c r="BA36">
        <f t="shared" si="9"/>
        <v>-0.03732050807568878</v>
      </c>
      <c r="BB36">
        <f t="shared" si="10"/>
        <v>0</v>
      </c>
      <c r="BC36">
        <f t="shared" si="11"/>
        <v>0</v>
      </c>
      <c r="BD36">
        <f t="shared" si="12"/>
        <v>0</v>
      </c>
      <c r="BE36">
        <f t="shared" si="13"/>
        <v>0</v>
      </c>
      <c r="BF36">
        <f t="shared" si="16"/>
        <v>0</v>
      </c>
      <c r="BG36">
        <f t="shared" si="14"/>
        <v>1</v>
      </c>
    </row>
    <row r="37" spans="1:59" ht="20.25" customHeight="1">
      <c r="A37" s="109"/>
      <c r="B37" s="31"/>
      <c r="C37" s="31"/>
      <c r="D37" s="31"/>
      <c r="E37" s="32"/>
      <c r="F37" s="116"/>
      <c r="G37" s="11"/>
      <c r="H37" s="4"/>
      <c r="K37" s="2"/>
      <c r="L37" s="3"/>
      <c r="M37" s="3"/>
      <c r="N37" s="3"/>
      <c r="AD37" s="360" t="s">
        <v>120</v>
      </c>
      <c r="AE37" s="356">
        <f>PI()/2-(AE38-PI()/2)*((0.3386+0.1041*AE35)+(1.54-2.5673*AE35)*AE6)</f>
        <v>0.22181974825503858</v>
      </c>
      <c r="AF37" s="5"/>
      <c r="AG37" s="5">
        <v>5</v>
      </c>
      <c r="AH37" s="5"/>
      <c r="AI37" s="5"/>
      <c r="AJ37" s="5"/>
      <c r="AK37" s="5"/>
      <c r="AL37" s="266"/>
      <c r="AO37">
        <f t="shared" si="18"/>
        <v>200.53522829578813</v>
      </c>
      <c r="AP37">
        <v>3.5</v>
      </c>
      <c r="AQ37">
        <f t="shared" si="19"/>
        <v>0.4813479034612025</v>
      </c>
      <c r="AR37">
        <f t="shared" si="20"/>
        <v>0.589123027824746</v>
      </c>
      <c r="AS37" s="232">
        <f t="shared" si="24"/>
        <v>0.6128711854621666</v>
      </c>
      <c r="AT37">
        <f t="shared" si="21"/>
        <v>0.589123027824746</v>
      </c>
      <c r="AU37">
        <f t="shared" si="22"/>
        <v>0.410876972175254</v>
      </c>
      <c r="AV37">
        <f t="shared" si="23"/>
        <v>-0.08912302782474602</v>
      </c>
      <c r="AW37" s="232">
        <f t="shared" si="17"/>
        <v>0.6128711854621666</v>
      </c>
      <c r="AY37">
        <f t="shared" si="15"/>
        <v>1</v>
      </c>
      <c r="AZ37">
        <f t="shared" si="8"/>
        <v>0.01866025403784439</v>
      </c>
      <c r="BA37">
        <f t="shared" si="9"/>
        <v>-0.03732050807568878</v>
      </c>
      <c r="BB37">
        <f t="shared" si="10"/>
        <v>0</v>
      </c>
      <c r="BC37">
        <f t="shared" si="11"/>
        <v>0</v>
      </c>
      <c r="BD37">
        <f t="shared" si="12"/>
        <v>0</v>
      </c>
      <c r="BE37">
        <f t="shared" si="13"/>
        <v>0</v>
      </c>
      <c r="BF37">
        <f t="shared" si="16"/>
        <v>0</v>
      </c>
      <c r="BG37">
        <f t="shared" si="14"/>
        <v>1</v>
      </c>
    </row>
    <row r="38" spans="1:60" s="1" customFormat="1" ht="12.75">
      <c r="A38" s="245" t="s">
        <v>121</v>
      </c>
      <c r="B38" s="244"/>
      <c r="C38" s="93"/>
      <c r="D38" s="93"/>
      <c r="E38" s="94"/>
      <c r="F38" s="97"/>
      <c r="G38" s="14"/>
      <c r="H38" s="2"/>
      <c r="K38" s="2"/>
      <c r="L38" s="3"/>
      <c r="M38" s="3"/>
      <c r="N38" s="3"/>
      <c r="AD38" s="360" t="s">
        <v>122</v>
      </c>
      <c r="AE38" s="356">
        <f>2.5307*(1.2796-AE6)*(1-EXP(-19.42*(AE36-AE35)))+PI()/2</f>
        <v>4.808275365709777</v>
      </c>
      <c r="AF38" s="5"/>
      <c r="AG38" s="5">
        <v>3</v>
      </c>
      <c r="AH38" s="5"/>
      <c r="AI38" s="5"/>
      <c r="AJ38" s="5"/>
      <c r="AK38" s="5"/>
      <c r="AL38" s="266"/>
      <c r="AO38">
        <f t="shared" si="18"/>
        <v>206.26480624709637</v>
      </c>
      <c r="AP38">
        <v>3.6</v>
      </c>
      <c r="AQ38">
        <f t="shared" si="19"/>
        <v>0.5053150554118566</v>
      </c>
      <c r="AR38">
        <f t="shared" si="20"/>
        <v>0.6136010473465435</v>
      </c>
      <c r="AS38" s="232">
        <f t="shared" si="24"/>
        <v>0.6433871111004158</v>
      </c>
      <c r="AT38">
        <f t="shared" si="21"/>
        <v>0.6136010473465435</v>
      </c>
      <c r="AU38">
        <f t="shared" si="22"/>
        <v>0.3863989526534565</v>
      </c>
      <c r="AV38">
        <f t="shared" si="23"/>
        <v>-0.11360104734654353</v>
      </c>
      <c r="AW38" s="232">
        <f t="shared" si="17"/>
        <v>0.6433871111004158</v>
      </c>
      <c r="AX38"/>
      <c r="AY38">
        <f t="shared" si="15"/>
        <v>1</v>
      </c>
      <c r="AZ38">
        <f aca="true" t="shared" si="25" ref="AZ38:AZ69">(AY38/100-0.005)/TAN($AZ$3*PI()/180)</f>
        <v>0.01866025403784439</v>
      </c>
      <c r="BA38">
        <f aca="true" t="shared" si="26" ref="BA38:BA69">$AZ$1-2*AZ38</f>
        <v>-0.03732050807568878</v>
      </c>
      <c r="BB38">
        <f aca="true" t="shared" si="27" ref="BB38:BB69">IF($AZ$4/BA38&lt;0.5,$AZ$4/BA38,0.5)</f>
        <v>0</v>
      </c>
      <c r="BC38">
        <f aca="true" t="shared" si="28" ref="BC38:BC69">IF(BF38+BG38=2,3.1316*BB38^4-1.453*BB38^3+0.5868*BB38^2-1.3257*BB38+0.5,0)</f>
        <v>0</v>
      </c>
      <c r="BD38">
        <f aca="true" t="shared" si="29" ref="BD38:BD69">IF(BF38+BG38=2,(PI()*BA38^2/4),0)*0.01</f>
        <v>0</v>
      </c>
      <c r="BE38">
        <f aca="true" t="shared" si="30" ref="BE38:BE69">BD38*BC38</f>
        <v>0</v>
      </c>
      <c r="BF38">
        <f t="shared" si="16"/>
        <v>0</v>
      </c>
      <c r="BG38">
        <f aca="true" t="shared" si="31" ref="BG38:BG69">IF(BB38=0.5,0,1)</f>
        <v>1</v>
      </c>
      <c r="BH38"/>
    </row>
    <row r="39" spans="1:60" s="1" customFormat="1" ht="12.75">
      <c r="A39" s="96"/>
      <c r="B39" s="93"/>
      <c r="C39" s="93"/>
      <c r="D39" s="93"/>
      <c r="E39" s="94"/>
      <c r="F39" s="97"/>
      <c r="G39" s="14"/>
      <c r="H39" s="2"/>
      <c r="K39" s="2"/>
      <c r="L39" s="3"/>
      <c r="M39" s="3"/>
      <c r="N39" s="3"/>
      <c r="AD39" s="360" t="s">
        <v>123</v>
      </c>
      <c r="AE39" s="356">
        <f>AE38</f>
        <v>4.808275365709777</v>
      </c>
      <c r="AF39" s="5"/>
      <c r="AG39" s="5">
        <v>4</v>
      </c>
      <c r="AH39" s="5"/>
      <c r="AI39" s="5"/>
      <c r="AJ39" s="5"/>
      <c r="AK39" s="5"/>
      <c r="AL39" s="266"/>
      <c r="AO39">
        <f t="shared" si="18"/>
        <v>211.9943841984046</v>
      </c>
      <c r="AP39">
        <v>3.7</v>
      </c>
      <c r="AQ39">
        <f t="shared" si="19"/>
        <v>0.5287295176135617</v>
      </c>
      <c r="AR39">
        <f t="shared" si="20"/>
        <v>0.6377951234122565</v>
      </c>
      <c r="AS39" s="232">
        <f t="shared" si="24"/>
        <v>0.6731993302943334</v>
      </c>
      <c r="AT39">
        <f t="shared" si="21"/>
        <v>0.6377951234122565</v>
      </c>
      <c r="AU39">
        <f t="shared" si="22"/>
        <v>0.3622048765877435</v>
      </c>
      <c r="AV39">
        <f t="shared" si="23"/>
        <v>-0.13779512341225653</v>
      </c>
      <c r="AW39" s="232">
        <f t="shared" si="17"/>
        <v>0.6731993302943334</v>
      </c>
      <c r="AX39"/>
      <c r="AY39">
        <f aca="true" t="shared" si="32" ref="AY39:AY70">IF(BA38-($AZ$1/4)&gt;0,AY38+1,AY38)</f>
        <v>1</v>
      </c>
      <c r="AZ39">
        <f t="shared" si="25"/>
        <v>0.01866025403784439</v>
      </c>
      <c r="BA39">
        <f t="shared" si="26"/>
        <v>-0.03732050807568878</v>
      </c>
      <c r="BB39">
        <f t="shared" si="27"/>
        <v>0</v>
      </c>
      <c r="BC39">
        <f t="shared" si="28"/>
        <v>0</v>
      </c>
      <c r="BD39">
        <f t="shared" si="29"/>
        <v>0</v>
      </c>
      <c r="BE39">
        <f t="shared" si="30"/>
        <v>0</v>
      </c>
      <c r="BF39">
        <f aca="true" t="shared" si="33" ref="BF39:BF70">AY39-AY38</f>
        <v>0</v>
      </c>
      <c r="BG39">
        <f t="shared" si="31"/>
        <v>1</v>
      </c>
      <c r="BH39"/>
    </row>
    <row r="40" spans="1:60" s="1" customFormat="1" ht="25.5">
      <c r="A40" s="96"/>
      <c r="B40" s="13" t="s">
        <v>124</v>
      </c>
      <c r="C40" s="93" t="s">
        <v>125</v>
      </c>
      <c r="D40" s="95" t="s">
        <v>126</v>
      </c>
      <c r="E40" s="5"/>
      <c r="F40" s="97"/>
      <c r="G40" s="14"/>
      <c r="H40" s="13"/>
      <c r="I40" s="7"/>
      <c r="J40"/>
      <c r="K40"/>
      <c r="L40" s="3"/>
      <c r="M40" s="3"/>
      <c r="N40" s="319" t="s">
        <v>126</v>
      </c>
      <c r="O40" s="318"/>
      <c r="AD40" s="360" t="s">
        <v>80</v>
      </c>
      <c r="AE40" s="356" t="e">
        <f>(AE6*AE41*(1-AE3+AE3*AE29*AE26)+AE5*(AE42-AE41)*(1-AE3)+AE6*AE3*AE29*(1-AE26))/AE6</f>
        <v>#DIV/0!</v>
      </c>
      <c r="AF40" s="5"/>
      <c r="AG40" s="5">
        <v>1</v>
      </c>
      <c r="AH40" s="5"/>
      <c r="AI40" s="5"/>
      <c r="AJ40" s="5"/>
      <c r="AK40" s="5"/>
      <c r="AL40" s="266"/>
      <c r="AO40">
        <f t="shared" si="18"/>
        <v>217.72396214971283</v>
      </c>
      <c r="AP40">
        <v>3.8</v>
      </c>
      <c r="AQ40">
        <f t="shared" si="19"/>
        <v>0.5514822363678399</v>
      </c>
      <c r="AR40">
        <f t="shared" si="20"/>
        <v>0.6616447834317517</v>
      </c>
      <c r="AS40" s="232">
        <f t="shared" si="24"/>
        <v>0.7021689915625179</v>
      </c>
      <c r="AT40">
        <f t="shared" si="21"/>
        <v>0.6616447834317517</v>
      </c>
      <c r="AU40">
        <f t="shared" si="22"/>
        <v>0.3383552165682483</v>
      </c>
      <c r="AV40">
        <f t="shared" si="23"/>
        <v>-0.1616447834317517</v>
      </c>
      <c r="AW40" s="232">
        <f t="shared" si="17"/>
        <v>0.7021689915625179</v>
      </c>
      <c r="AX40"/>
      <c r="AY40">
        <f t="shared" si="32"/>
        <v>1</v>
      </c>
      <c r="AZ40">
        <f t="shared" si="25"/>
        <v>0.01866025403784439</v>
      </c>
      <c r="BA40">
        <f t="shared" si="26"/>
        <v>-0.03732050807568878</v>
      </c>
      <c r="BB40">
        <f t="shared" si="27"/>
        <v>0</v>
      </c>
      <c r="BC40">
        <f t="shared" si="28"/>
        <v>0</v>
      </c>
      <c r="BD40">
        <f t="shared" si="29"/>
        <v>0</v>
      </c>
      <c r="BE40">
        <f t="shared" si="30"/>
        <v>0</v>
      </c>
      <c r="BF40">
        <f t="shared" si="33"/>
        <v>0</v>
      </c>
      <c r="BG40">
        <f t="shared" si="31"/>
        <v>1</v>
      </c>
      <c r="BH40"/>
    </row>
    <row r="41" spans="1:60" s="1" customFormat="1" ht="12.75">
      <c r="A41" s="35" t="s">
        <v>127</v>
      </c>
      <c r="B41" s="110">
        <v>150</v>
      </c>
      <c r="C41" s="432"/>
      <c r="D41" s="7">
        <f>IF($C41&gt;0,IF($C41&lt;$B41,"Too low","Satisfactory"),0)</f>
        <v>0</v>
      </c>
      <c r="E41" s="5"/>
      <c r="F41" s="58"/>
      <c r="G41"/>
      <c r="H41"/>
      <c r="I41" s="7"/>
      <c r="J41"/>
      <c r="K41"/>
      <c r="L41" s="3"/>
      <c r="M41" s="3"/>
      <c r="N41" s="314">
        <f>IF($C41&gt;0,IF($C41&lt;$B41,0,1),0)</f>
        <v>0</v>
      </c>
      <c r="O41" s="315"/>
      <c r="AD41" s="360" t="s">
        <v>128</v>
      </c>
      <c r="AE41" s="349">
        <f>AF27</f>
        <v>0</v>
      </c>
      <c r="AF41" s="5"/>
      <c r="AG41" s="5"/>
      <c r="AH41" s="5"/>
      <c r="AI41" s="5"/>
      <c r="AJ41" s="5"/>
      <c r="AK41" s="5"/>
      <c r="AL41" s="266"/>
      <c r="AO41">
        <f t="shared" si="18"/>
        <v>223.45354010102105</v>
      </c>
      <c r="AP41">
        <v>3.9</v>
      </c>
      <c r="AQ41">
        <f t="shared" si="19"/>
        <v>0.5734707698979967</v>
      </c>
      <c r="AR41">
        <f t="shared" si="20"/>
        <v>0.6850904156756434</v>
      </c>
      <c r="AS41" s="232">
        <f t="shared" si="24"/>
        <v>0.7301656619838486</v>
      </c>
      <c r="AT41">
        <f t="shared" si="21"/>
        <v>0.6850904156756434</v>
      </c>
      <c r="AU41">
        <f t="shared" si="22"/>
        <v>0.31490958432435656</v>
      </c>
      <c r="AV41">
        <f t="shared" si="23"/>
        <v>-0.18509041567564344</v>
      </c>
      <c r="AW41" s="232">
        <f t="shared" si="17"/>
        <v>0.7301656619838486</v>
      </c>
      <c r="AX41"/>
      <c r="AY41">
        <f t="shared" si="32"/>
        <v>1</v>
      </c>
      <c r="AZ41">
        <f t="shared" si="25"/>
        <v>0.01866025403784439</v>
      </c>
      <c r="BA41">
        <f t="shared" si="26"/>
        <v>-0.03732050807568878</v>
      </c>
      <c r="BB41">
        <f t="shared" si="27"/>
        <v>0</v>
      </c>
      <c r="BC41">
        <f t="shared" si="28"/>
        <v>0</v>
      </c>
      <c r="BD41">
        <f t="shared" si="29"/>
        <v>0</v>
      </c>
      <c r="BE41">
        <f t="shared" si="30"/>
        <v>0</v>
      </c>
      <c r="BF41">
        <f t="shared" si="33"/>
        <v>0</v>
      </c>
      <c r="BG41">
        <f t="shared" si="31"/>
        <v>1</v>
      </c>
      <c r="BH41"/>
    </row>
    <row r="42" spans="1:60" s="1" customFormat="1" ht="12.75">
      <c r="A42" s="72" t="s">
        <v>129</v>
      </c>
      <c r="B42" s="335">
        <v>15</v>
      </c>
      <c r="C42" s="432"/>
      <c r="D42" s="7">
        <f>IF($C42&gt;0,IF($C42&lt;$B42,"Too low","Satisfactory"),0)</f>
        <v>0</v>
      </c>
      <c r="E42" s="5"/>
      <c r="F42" s="58"/>
      <c r="G42"/>
      <c r="H42"/>
      <c r="I42" s="7"/>
      <c r="J42"/>
      <c r="K42"/>
      <c r="L42" s="3"/>
      <c r="M42" s="3"/>
      <c r="N42" s="314">
        <f>IF($C42&gt;0,IF($C42&lt;$B42,0,1),0)</f>
        <v>0</v>
      </c>
      <c r="O42" s="315"/>
      <c r="AD42" s="360" t="s">
        <v>130</v>
      </c>
      <c r="AE42" s="348">
        <v>7.84</v>
      </c>
      <c r="AF42" s="5"/>
      <c r="AG42" s="5"/>
      <c r="AH42" s="5"/>
      <c r="AI42" s="5"/>
      <c r="AJ42" s="5"/>
      <c r="AK42" s="5"/>
      <c r="AL42" s="266"/>
      <c r="AO42">
        <f t="shared" si="18"/>
        <v>229.1831180523293</v>
      </c>
      <c r="AP42">
        <v>4</v>
      </c>
      <c r="AQ42">
        <f t="shared" si="19"/>
        <v>0.594600311913491</v>
      </c>
      <c r="AR42">
        <f t="shared" si="20"/>
        <v>0.7080734182735712</v>
      </c>
      <c r="AS42" s="232">
        <f t="shared" si="24"/>
        <v>0.7570686304401191</v>
      </c>
      <c r="AT42">
        <f t="shared" si="21"/>
        <v>0.7080734182735712</v>
      </c>
      <c r="AU42">
        <f t="shared" si="22"/>
        <v>0.2919265817264288</v>
      </c>
      <c r="AV42">
        <f t="shared" si="23"/>
        <v>-0.20807341827357118</v>
      </c>
      <c r="AW42" s="232">
        <f t="shared" si="17"/>
        <v>0.7570686304401191</v>
      </c>
      <c r="AX42"/>
      <c r="AY42">
        <f t="shared" si="32"/>
        <v>1</v>
      </c>
      <c r="AZ42">
        <f t="shared" si="25"/>
        <v>0.01866025403784439</v>
      </c>
      <c r="BA42">
        <f t="shared" si="26"/>
        <v>-0.03732050807568878</v>
      </c>
      <c r="BB42">
        <f t="shared" si="27"/>
        <v>0</v>
      </c>
      <c r="BC42">
        <f t="shared" si="28"/>
        <v>0</v>
      </c>
      <c r="BD42">
        <f t="shared" si="29"/>
        <v>0</v>
      </c>
      <c r="BE42">
        <f t="shared" si="30"/>
        <v>0</v>
      </c>
      <c r="BF42">
        <f t="shared" si="33"/>
        <v>0</v>
      </c>
      <c r="BG42">
        <f t="shared" si="31"/>
        <v>1</v>
      </c>
      <c r="BH42"/>
    </row>
    <row r="43" spans="1:60" s="1" customFormat="1" ht="12.75">
      <c r="A43" s="35" t="s">
        <v>131</v>
      </c>
      <c r="B43" s="335">
        <v>15</v>
      </c>
      <c r="C43" s="432"/>
      <c r="D43" s="7">
        <f>IF($C43&gt;0,IF($C43&lt;$B43,"Too low","Satisfactory"),0)</f>
        <v>0</v>
      </c>
      <c r="E43" s="5"/>
      <c r="F43" s="58"/>
      <c r="G43"/>
      <c r="H43"/>
      <c r="I43" s="7"/>
      <c r="J43"/>
      <c r="K43"/>
      <c r="L43" s="3"/>
      <c r="M43" s="3"/>
      <c r="N43" s="314">
        <f>IF($C43&gt;0,IF($C43&lt;$B43,0,1),0)</f>
        <v>0</v>
      </c>
      <c r="O43" s="315"/>
      <c r="AD43" s="360" t="s">
        <v>132</v>
      </c>
      <c r="AE43" s="349">
        <f>$F$68</f>
        <v>0</v>
      </c>
      <c r="AF43" s="5"/>
      <c r="AG43" s="5"/>
      <c r="AH43" s="5"/>
      <c r="AI43" s="5"/>
      <c r="AJ43" s="5"/>
      <c r="AK43" s="5"/>
      <c r="AL43" s="266"/>
      <c r="AO43">
        <f t="shared" si="18"/>
        <v>234.91269600363748</v>
      </c>
      <c r="AP43">
        <v>4.1</v>
      </c>
      <c r="AQ43">
        <f t="shared" si="19"/>
        <v>0.6147846388830512</v>
      </c>
      <c r="AR43">
        <f t="shared" si="20"/>
        <v>0.7305363456883563</v>
      </c>
      <c r="AS43" s="232">
        <f t="shared" si="24"/>
        <v>0.7827681137216276</v>
      </c>
      <c r="AT43">
        <f t="shared" si="21"/>
        <v>0.7305363456883563</v>
      </c>
      <c r="AU43">
        <f t="shared" si="22"/>
        <v>0.26946365431164365</v>
      </c>
      <c r="AV43">
        <f t="shared" si="23"/>
        <v>-0.23053634568835635</v>
      </c>
      <c r="AW43" s="232">
        <f t="shared" si="17"/>
        <v>0.7827681137216276</v>
      </c>
      <c r="AX43"/>
      <c r="AY43">
        <f t="shared" si="32"/>
        <v>1</v>
      </c>
      <c r="AZ43">
        <f t="shared" si="25"/>
        <v>0.01866025403784439</v>
      </c>
      <c r="BA43">
        <f t="shared" si="26"/>
        <v>-0.03732050807568878</v>
      </c>
      <c r="BB43">
        <f t="shared" si="27"/>
        <v>0</v>
      </c>
      <c r="BC43">
        <f t="shared" si="28"/>
        <v>0</v>
      </c>
      <c r="BD43">
        <f t="shared" si="29"/>
        <v>0</v>
      </c>
      <c r="BE43">
        <f t="shared" si="30"/>
        <v>0</v>
      </c>
      <c r="BF43">
        <f t="shared" si="33"/>
        <v>0</v>
      </c>
      <c r="BG43">
        <f t="shared" si="31"/>
        <v>1</v>
      </c>
      <c r="BH43"/>
    </row>
    <row r="44" spans="1:60" s="1" customFormat="1" ht="12.75">
      <c r="A44" s="35" t="s">
        <v>133</v>
      </c>
      <c r="B44" s="335">
        <v>25</v>
      </c>
      <c r="C44" s="432"/>
      <c r="D44" s="7">
        <f>IF($C44&gt;0,IF($C44&lt;$B44,"Satisfactory","Too High"),0)</f>
        <v>0</v>
      </c>
      <c r="E44" s="5"/>
      <c r="F44" s="58"/>
      <c r="G44"/>
      <c r="H44"/>
      <c r="I44" s="7"/>
      <c r="J44"/>
      <c r="K44"/>
      <c r="L44" s="3"/>
      <c r="M44" s="3"/>
      <c r="N44" s="314">
        <f>IF($C44&gt;0,IF($C44&lt;$B44,1,0),0)</f>
        <v>0</v>
      </c>
      <c r="O44" s="315"/>
      <c r="AD44" s="360"/>
      <c r="AE44" s="5"/>
      <c r="AF44" s="5"/>
      <c r="AG44" s="5"/>
      <c r="AH44" s="5"/>
      <c r="AI44" s="5"/>
      <c r="AJ44" s="5"/>
      <c r="AK44" s="5"/>
      <c r="AL44" s="266"/>
      <c r="AO44">
        <f t="shared" si="18"/>
        <v>240.64227395494575</v>
      </c>
      <c r="AP44">
        <v>4.2</v>
      </c>
      <c r="AQ44">
        <f t="shared" si="19"/>
        <v>0.6339469715516985</v>
      </c>
      <c r="AR44">
        <f t="shared" si="20"/>
        <v>0.7524230522999288</v>
      </c>
      <c r="AS44" s="232">
        <f t="shared" si="24"/>
        <v>0.8071663534447198</v>
      </c>
      <c r="AT44">
        <f t="shared" si="21"/>
        <v>0.7524230522999288</v>
      </c>
      <c r="AU44">
        <f t="shared" si="22"/>
        <v>0.24757694770007121</v>
      </c>
      <c r="AV44">
        <f t="shared" si="23"/>
        <v>-0.2524230522999288</v>
      </c>
      <c r="AW44" s="232">
        <f t="shared" si="17"/>
        <v>0.8071663534447198</v>
      </c>
      <c r="AX44"/>
      <c r="AY44">
        <f t="shared" si="32"/>
        <v>1</v>
      </c>
      <c r="AZ44">
        <f t="shared" si="25"/>
        <v>0.01866025403784439</v>
      </c>
      <c r="BA44">
        <f t="shared" si="26"/>
        <v>-0.03732050807568878</v>
      </c>
      <c r="BB44">
        <f t="shared" si="27"/>
        <v>0</v>
      </c>
      <c r="BC44">
        <f t="shared" si="28"/>
        <v>0</v>
      </c>
      <c r="BD44">
        <f t="shared" si="29"/>
        <v>0</v>
      </c>
      <c r="BE44">
        <f t="shared" si="30"/>
        <v>0</v>
      </c>
      <c r="BF44">
        <f t="shared" si="33"/>
        <v>0</v>
      </c>
      <c r="BG44">
        <f t="shared" si="31"/>
        <v>1</v>
      </c>
      <c r="BH44"/>
    </row>
    <row r="45" spans="1:60" s="1" customFormat="1" ht="12.75">
      <c r="A45" s="35" t="s">
        <v>134</v>
      </c>
      <c r="B45" s="335">
        <v>35</v>
      </c>
      <c r="C45" s="432"/>
      <c r="D45" s="7">
        <f>IF($C45&gt;0,IF($C45&lt;$B45,"Too low","Satisfactory"),0)</f>
        <v>0</v>
      </c>
      <c r="E45" s="5"/>
      <c r="F45" s="58"/>
      <c r="G45"/>
      <c r="H45"/>
      <c r="I45" s="7"/>
      <c r="J45"/>
      <c r="K45"/>
      <c r="L45" s="3"/>
      <c r="M45" s="3"/>
      <c r="N45" s="314">
        <f>IF($C45&gt;0,IF($C45&lt;$B45,0,1),0)</f>
        <v>0</v>
      </c>
      <c r="O45" s="315"/>
      <c r="AD45" s="360"/>
      <c r="AE45" s="5"/>
      <c r="AF45" s="5"/>
      <c r="AG45" s="5"/>
      <c r="AH45" s="5"/>
      <c r="AI45" s="5"/>
      <c r="AJ45" s="5"/>
      <c r="AK45" s="5"/>
      <c r="AL45" s="266"/>
      <c r="AO45">
        <f t="shared" si="18"/>
        <v>246.371851906254</v>
      </c>
      <c r="AP45">
        <v>4.3</v>
      </c>
      <c r="AQ45">
        <f t="shared" si="19"/>
        <v>0.6520207420936819</v>
      </c>
      <c r="AR45">
        <f t="shared" si="20"/>
        <v>0.7736788327401355</v>
      </c>
      <c r="AS45" s="232">
        <f t="shared" si="24"/>
        <v>0.8301785928212425</v>
      </c>
      <c r="AT45">
        <f t="shared" si="21"/>
        <v>0.7736788327401355</v>
      </c>
      <c r="AU45">
        <f t="shared" si="22"/>
        <v>0.2263211672598645</v>
      </c>
      <c r="AV45">
        <f t="shared" si="23"/>
        <v>-0.2736788327401355</v>
      </c>
      <c r="AW45" s="232">
        <f t="shared" si="17"/>
        <v>0.8301785928212425</v>
      </c>
      <c r="AX45"/>
      <c r="AY45">
        <f t="shared" si="32"/>
        <v>1</v>
      </c>
      <c r="AZ45">
        <f t="shared" si="25"/>
        <v>0.01866025403784439</v>
      </c>
      <c r="BA45">
        <f t="shared" si="26"/>
        <v>-0.03732050807568878</v>
      </c>
      <c r="BB45">
        <f t="shared" si="27"/>
        <v>0</v>
      </c>
      <c r="BC45">
        <f t="shared" si="28"/>
        <v>0</v>
      </c>
      <c r="BD45">
        <f t="shared" si="29"/>
        <v>0</v>
      </c>
      <c r="BE45">
        <f t="shared" si="30"/>
        <v>0</v>
      </c>
      <c r="BF45">
        <f t="shared" si="33"/>
        <v>0</v>
      </c>
      <c r="BG45">
        <f t="shared" si="31"/>
        <v>1</v>
      </c>
      <c r="BH45"/>
    </row>
    <row r="46" spans="1:60" s="1" customFormat="1" ht="13.5" thickBot="1">
      <c r="A46" s="35" t="s">
        <v>135</v>
      </c>
      <c r="B46" s="110">
        <v>120</v>
      </c>
      <c r="C46" s="432"/>
      <c r="D46" s="7">
        <f>IF($C46&gt;0,IF($C46&lt;$B46,"Too low","Satisfactory"),0)</f>
        <v>0</v>
      </c>
      <c r="E46" s="5"/>
      <c r="F46" s="58"/>
      <c r="G46"/>
      <c r="H46"/>
      <c r="I46" s="7"/>
      <c r="J46"/>
      <c r="K46"/>
      <c r="L46" s="3"/>
      <c r="M46" s="3"/>
      <c r="N46" s="314">
        <f>IF($C46&gt;0,IF($C46&lt;$B46,0,1),0)</f>
        <v>0</v>
      </c>
      <c r="O46" s="315"/>
      <c r="AD46" s="269"/>
      <c r="AE46" s="26"/>
      <c r="AF46" s="26"/>
      <c r="AG46" s="26"/>
      <c r="AH46" s="26"/>
      <c r="AI46" s="26"/>
      <c r="AJ46" s="26"/>
      <c r="AK46" s="26"/>
      <c r="AL46" s="270"/>
      <c r="AO46">
        <f t="shared" si="18"/>
        <v>252.10142985756227</v>
      </c>
      <c r="AP46">
        <v>4.4</v>
      </c>
      <c r="AQ46">
        <f t="shared" si="19"/>
        <v>0.6689502592361896</v>
      </c>
      <c r="AR46">
        <f t="shared" si="20"/>
        <v>0.7942505586276729</v>
      </c>
      <c r="AS46" s="232">
        <f t="shared" si="24"/>
        <v>0.851733923520355</v>
      </c>
      <c r="AT46">
        <f t="shared" si="21"/>
        <v>0.7942505586276729</v>
      </c>
      <c r="AU46">
        <f t="shared" si="22"/>
        <v>0.2057494413723271</v>
      </c>
      <c r="AV46">
        <f t="shared" si="23"/>
        <v>-0.2942505586276729</v>
      </c>
      <c r="AW46" s="232">
        <f t="shared" si="17"/>
        <v>0.851733923520355</v>
      </c>
      <c r="AX46"/>
      <c r="AY46">
        <f t="shared" si="32"/>
        <v>1</v>
      </c>
      <c r="AZ46">
        <f t="shared" si="25"/>
        <v>0.01866025403784439</v>
      </c>
      <c r="BA46">
        <f t="shared" si="26"/>
        <v>-0.03732050807568878</v>
      </c>
      <c r="BB46">
        <f t="shared" si="27"/>
        <v>0</v>
      </c>
      <c r="BC46">
        <f t="shared" si="28"/>
        <v>0</v>
      </c>
      <c r="BD46">
        <f t="shared" si="29"/>
        <v>0</v>
      </c>
      <c r="BE46">
        <f t="shared" si="30"/>
        <v>0</v>
      </c>
      <c r="BF46">
        <f t="shared" si="33"/>
        <v>0</v>
      </c>
      <c r="BG46">
        <f t="shared" si="31"/>
        <v>1</v>
      </c>
      <c r="BH46"/>
    </row>
    <row r="47" spans="1:60" s="1" customFormat="1" ht="12.75">
      <c r="A47" s="35" t="s">
        <v>136</v>
      </c>
      <c r="B47" s="110">
        <v>25.4</v>
      </c>
      <c r="C47" s="432"/>
      <c r="D47" s="7">
        <f>IF($C47&gt;0,IF($C47&lt;$B47,"Too low","Satisfactory"),0)</f>
        <v>0</v>
      </c>
      <c r="E47" s="5"/>
      <c r="F47" s="58"/>
      <c r="G47"/>
      <c r="H47"/>
      <c r="I47" s="7"/>
      <c r="J47"/>
      <c r="K47"/>
      <c r="L47" s="3"/>
      <c r="M47" s="3"/>
      <c r="N47" s="314">
        <f>IF($C47&gt;0,IF($C47&lt;$B47,0,1),0)</f>
        <v>0</v>
      </c>
      <c r="O47" s="315"/>
      <c r="AO47">
        <f t="shared" si="18"/>
        <v>257.8310078088705</v>
      </c>
      <c r="AP47">
        <v>4.5</v>
      </c>
      <c r="AQ47">
        <f t="shared" si="19"/>
        <v>0.6846912647081371</v>
      </c>
      <c r="AR47">
        <f t="shared" si="20"/>
        <v>0.8140868113613695</v>
      </c>
      <c r="AS47" s="232">
        <f t="shared" si="24"/>
        <v>0.8717759941611313</v>
      </c>
      <c r="AT47">
        <f t="shared" si="21"/>
        <v>0.8140868113613695</v>
      </c>
      <c r="AU47">
        <f t="shared" si="22"/>
        <v>0.1859131886386305</v>
      </c>
      <c r="AV47">
        <f t="shared" si="23"/>
        <v>-0.3140868113613695</v>
      </c>
      <c r="AW47" s="232">
        <f t="shared" si="17"/>
        <v>0.8717759941611313</v>
      </c>
      <c r="AX47"/>
      <c r="AY47">
        <f t="shared" si="32"/>
        <v>1</v>
      </c>
      <c r="AZ47">
        <f t="shared" si="25"/>
        <v>0.01866025403784439</v>
      </c>
      <c r="BA47">
        <f t="shared" si="26"/>
        <v>-0.03732050807568878</v>
      </c>
      <c r="BB47">
        <f t="shared" si="27"/>
        <v>0</v>
      </c>
      <c r="BC47">
        <f t="shared" si="28"/>
        <v>0</v>
      </c>
      <c r="BD47">
        <f t="shared" si="29"/>
        <v>0</v>
      </c>
      <c r="BE47">
        <f t="shared" si="30"/>
        <v>0</v>
      </c>
      <c r="BF47">
        <f t="shared" si="33"/>
        <v>0</v>
      </c>
      <c r="BG47">
        <f t="shared" si="31"/>
        <v>1</v>
      </c>
      <c r="BH47"/>
    </row>
    <row r="48" spans="1:60" s="1" customFormat="1" ht="12.75">
      <c r="A48" s="35" t="s">
        <v>137</v>
      </c>
      <c r="B48" s="110">
        <v>1.25</v>
      </c>
      <c r="C48" s="176">
        <f>IF(B14&gt;0,B14/B15,)</f>
        <v>0</v>
      </c>
      <c r="D48" s="7">
        <f>IF($C48&gt;0,IF($C48&lt;$B48,"Satisfactory",IF($B14&gt;17,"Risk of Build Up","Satisfactory")),0)</f>
        <v>0</v>
      </c>
      <c r="E48" s="5"/>
      <c r="F48" s="58"/>
      <c r="G48"/>
      <c r="H48"/>
      <c r="I48" s="7"/>
      <c r="J48"/>
      <c r="K48"/>
      <c r="L48" s="3"/>
      <c r="M48" s="3"/>
      <c r="N48" s="316">
        <f>IF($C48&gt;0,IF($C48&lt;$B48,1,IF($B14&gt;17,0,1)),0)</f>
        <v>0</v>
      </c>
      <c r="O48" s="317">
        <f>SUM(N41:N48)</f>
        <v>0</v>
      </c>
      <c r="AO48">
        <f t="shared" si="18"/>
        <v>263.56058576017864</v>
      </c>
      <c r="AP48">
        <v>4.6</v>
      </c>
      <c r="AQ48">
        <f t="shared" si="19"/>
        <v>0.699211375454183</v>
      </c>
      <c r="AR48">
        <f t="shared" si="20"/>
        <v>0.833138010639912</v>
      </c>
      <c r="AS48" s="232">
        <f t="shared" si="24"/>
        <v>0.8902635733569308</v>
      </c>
      <c r="AT48">
        <f t="shared" si="21"/>
        <v>0.833138010639912</v>
      </c>
      <c r="AU48">
        <f t="shared" si="22"/>
        <v>0.166861989360088</v>
      </c>
      <c r="AV48">
        <f t="shared" si="23"/>
        <v>-0.333138010639912</v>
      </c>
      <c r="AW48" s="232">
        <f t="shared" si="17"/>
        <v>0.8902635733569308</v>
      </c>
      <c r="AX48"/>
      <c r="AY48">
        <f t="shared" si="32"/>
        <v>1</v>
      </c>
      <c r="AZ48">
        <f t="shared" si="25"/>
        <v>0.01866025403784439</v>
      </c>
      <c r="BA48">
        <f t="shared" si="26"/>
        <v>-0.03732050807568878</v>
      </c>
      <c r="BB48">
        <f t="shared" si="27"/>
        <v>0</v>
      </c>
      <c r="BC48">
        <f t="shared" si="28"/>
        <v>0</v>
      </c>
      <c r="BD48">
        <f t="shared" si="29"/>
        <v>0</v>
      </c>
      <c r="BE48">
        <f t="shared" si="30"/>
        <v>0</v>
      </c>
      <c r="BF48">
        <f t="shared" si="33"/>
        <v>0</v>
      </c>
      <c r="BG48">
        <f t="shared" si="31"/>
        <v>1</v>
      </c>
      <c r="BH48"/>
    </row>
    <row r="49" spans="1:60" s="1" customFormat="1" ht="12.75">
      <c r="A49" s="35"/>
      <c r="B49" s="50"/>
      <c r="C49" s="376"/>
      <c r="D49" s="377"/>
      <c r="E49" s="7"/>
      <c r="F49" s="98"/>
      <c r="G49" s="14"/>
      <c r="H49" s="2"/>
      <c r="K49" s="2"/>
      <c r="L49" s="3"/>
      <c r="M49" s="3"/>
      <c r="N49" s="3"/>
      <c r="AO49">
        <f t="shared" si="18"/>
        <v>269.2901637114869</v>
      </c>
      <c r="AP49">
        <v>4.7</v>
      </c>
      <c r="AQ49">
        <f t="shared" si="19"/>
        <v>0.7124904071955126</v>
      </c>
      <c r="AR49">
        <f t="shared" si="20"/>
        <v>0.8513565383867769</v>
      </c>
      <c r="AS49" s="232">
        <f t="shared" si="24"/>
        <v>0.9071709616857851</v>
      </c>
      <c r="AT49">
        <f t="shared" si="21"/>
        <v>0.8513565383867769</v>
      </c>
      <c r="AU49">
        <f t="shared" si="22"/>
        <v>0.14864346161322306</v>
      </c>
      <c r="AV49">
        <f t="shared" si="23"/>
        <v>-0.35135653838677694</v>
      </c>
      <c r="AW49" s="232">
        <f t="shared" si="17"/>
        <v>0.9071709616857851</v>
      </c>
      <c r="AX49"/>
      <c r="AY49">
        <f t="shared" si="32"/>
        <v>1</v>
      </c>
      <c r="AZ49">
        <f t="shared" si="25"/>
        <v>0.01866025403784439</v>
      </c>
      <c r="BA49">
        <f t="shared" si="26"/>
        <v>-0.03732050807568878</v>
      </c>
      <c r="BB49">
        <f t="shared" si="27"/>
        <v>0</v>
      </c>
      <c r="BC49">
        <f t="shared" si="28"/>
        <v>0</v>
      </c>
      <c r="BD49">
        <f t="shared" si="29"/>
        <v>0</v>
      </c>
      <c r="BE49">
        <f t="shared" si="30"/>
        <v>0</v>
      </c>
      <c r="BF49">
        <f t="shared" si="33"/>
        <v>0</v>
      </c>
      <c r="BG49">
        <f t="shared" si="31"/>
        <v>1</v>
      </c>
      <c r="BH49"/>
    </row>
    <row r="50" spans="1:60" s="1" customFormat="1" ht="13.5" thickBot="1">
      <c r="A50" s="45"/>
      <c r="B50" s="378" t="str">
        <f>IF(O48&lt;5,"Fully Autogenous not recommended"," Fully Autogenous could be considered")</f>
        <v>Fully Autogenous not recommended</v>
      </c>
      <c r="C50" s="379"/>
      <c r="D50" s="61"/>
      <c r="E50" s="99"/>
      <c r="F50" s="100"/>
      <c r="G50" s="14"/>
      <c r="H50" s="2"/>
      <c r="K50" s="2"/>
      <c r="L50" s="3"/>
      <c r="M50" s="3"/>
      <c r="N50" s="3"/>
      <c r="AO50">
        <f t="shared" si="18"/>
        <v>275.0197416627951</v>
      </c>
      <c r="AP50">
        <v>4.8</v>
      </c>
      <c r="AQ50">
        <f t="shared" si="19"/>
        <v>0.7245205761044801</v>
      </c>
      <c r="AR50">
        <f t="shared" si="20"/>
        <v>0.8686968577706227</v>
      </c>
      <c r="AS50" s="232">
        <f t="shared" si="24"/>
        <v>0.922488248470526</v>
      </c>
      <c r="AT50">
        <f t="shared" si="21"/>
        <v>0.8686968577706227</v>
      </c>
      <c r="AU50">
        <f t="shared" si="22"/>
        <v>0.13130314222937733</v>
      </c>
      <c r="AV50">
        <f t="shared" si="23"/>
        <v>-0.36869685777062267</v>
      </c>
      <c r="AW50" s="232">
        <f t="shared" si="17"/>
        <v>0.922488248470526</v>
      </c>
      <c r="AX50"/>
      <c r="AY50">
        <f t="shared" si="32"/>
        <v>1</v>
      </c>
      <c r="AZ50">
        <f t="shared" si="25"/>
        <v>0.01866025403784439</v>
      </c>
      <c r="BA50">
        <f t="shared" si="26"/>
        <v>-0.03732050807568878</v>
      </c>
      <c r="BB50">
        <f t="shared" si="27"/>
        <v>0</v>
      </c>
      <c r="BC50">
        <f t="shared" si="28"/>
        <v>0</v>
      </c>
      <c r="BD50">
        <f t="shared" si="29"/>
        <v>0</v>
      </c>
      <c r="BE50">
        <f t="shared" si="30"/>
        <v>0</v>
      </c>
      <c r="BF50">
        <f t="shared" si="33"/>
        <v>0</v>
      </c>
      <c r="BG50">
        <f t="shared" si="31"/>
        <v>1</v>
      </c>
      <c r="BH50"/>
    </row>
    <row r="51" spans="5:60" s="7" customFormat="1" ht="14.25" thickBot="1" thickTop="1">
      <c r="E51" s="24"/>
      <c r="F51" s="92"/>
      <c r="G51" s="14"/>
      <c r="H51" s="13"/>
      <c r="K51" s="13"/>
      <c r="L51" s="6"/>
      <c r="M51" s="6"/>
      <c r="N51" s="6"/>
      <c r="AO51">
        <f t="shared" si="18"/>
        <v>280.7493196141034</v>
      </c>
      <c r="AP51">
        <v>4.9</v>
      </c>
      <c r="AQ51">
        <f t="shared" si="19"/>
        <v>0.7353065765780415</v>
      </c>
      <c r="AR51">
        <f t="shared" si="20"/>
        <v>0.8851156270236538</v>
      </c>
      <c r="AS51" s="232">
        <f t="shared" si="24"/>
        <v>0.9362214108029967</v>
      </c>
      <c r="AT51">
        <f t="shared" si="21"/>
        <v>0.8851156270236538</v>
      </c>
      <c r="AU51">
        <f t="shared" si="22"/>
        <v>0.11488437297634624</v>
      </c>
      <c r="AV51">
        <f t="shared" si="23"/>
        <v>-0.38511562702365376</v>
      </c>
      <c r="AW51" s="232">
        <f t="shared" si="17"/>
        <v>0.9362214108029967</v>
      </c>
      <c r="AX51"/>
      <c r="AY51">
        <f t="shared" si="32"/>
        <v>1</v>
      </c>
      <c r="AZ51">
        <f t="shared" si="25"/>
        <v>0.01866025403784439</v>
      </c>
      <c r="BA51">
        <f t="shared" si="26"/>
        <v>-0.03732050807568878</v>
      </c>
      <c r="BB51">
        <f t="shared" si="27"/>
        <v>0</v>
      </c>
      <c r="BC51">
        <f t="shared" si="28"/>
        <v>0</v>
      </c>
      <c r="BD51">
        <f t="shared" si="29"/>
        <v>0</v>
      </c>
      <c r="BE51">
        <f t="shared" si="30"/>
        <v>0</v>
      </c>
      <c r="BF51">
        <f t="shared" si="33"/>
        <v>0</v>
      </c>
      <c r="BG51">
        <f t="shared" si="31"/>
        <v>1</v>
      </c>
      <c r="BH51"/>
    </row>
    <row r="52" spans="1:60" s="7" customFormat="1" ht="13.5" thickTop="1">
      <c r="A52" s="241" t="s">
        <v>0</v>
      </c>
      <c r="B52" s="527">
        <f>B1</f>
        <v>0</v>
      </c>
      <c r="C52" s="517"/>
      <c r="D52" s="518"/>
      <c r="E52" s="463" t="s">
        <v>1</v>
      </c>
      <c r="F52" s="526">
        <f>F1</f>
        <v>0</v>
      </c>
      <c r="G52" s="14"/>
      <c r="H52" s="13"/>
      <c r="K52" s="13"/>
      <c r="L52" s="6"/>
      <c r="M52" s="6"/>
      <c r="N52" s="6"/>
      <c r="AO52">
        <f t="shared" si="18"/>
        <v>286.4788975654116</v>
      </c>
      <c r="AP52">
        <v>5</v>
      </c>
      <c r="AQ52">
        <f t="shared" si="19"/>
        <v>0.7448655343328923</v>
      </c>
      <c r="AR52">
        <f t="shared" si="20"/>
        <v>0.9005718077734668</v>
      </c>
      <c r="AS52" s="232">
        <f t="shared" si="24"/>
        <v>0.9483922538229255</v>
      </c>
      <c r="AT52">
        <f t="shared" si="21"/>
        <v>0.9005718077734668</v>
      </c>
      <c r="AU52">
        <f t="shared" si="22"/>
        <v>0.09942819222653321</v>
      </c>
      <c r="AV52">
        <f t="shared" si="23"/>
        <v>-0.4005718077734668</v>
      </c>
      <c r="AW52" s="232">
        <f t="shared" si="17"/>
        <v>0.9483922538229255</v>
      </c>
      <c r="AX52"/>
      <c r="AY52">
        <f t="shared" si="32"/>
        <v>1</v>
      </c>
      <c r="AZ52">
        <f t="shared" si="25"/>
        <v>0.01866025403784439</v>
      </c>
      <c r="BA52">
        <f t="shared" si="26"/>
        <v>-0.03732050807568878</v>
      </c>
      <c r="BB52">
        <f t="shared" si="27"/>
        <v>0</v>
      </c>
      <c r="BC52">
        <f t="shared" si="28"/>
        <v>0</v>
      </c>
      <c r="BD52">
        <f t="shared" si="29"/>
        <v>0</v>
      </c>
      <c r="BE52">
        <f t="shared" si="30"/>
        <v>0</v>
      </c>
      <c r="BF52">
        <f t="shared" si="33"/>
        <v>0</v>
      </c>
      <c r="BG52">
        <f t="shared" si="31"/>
        <v>1</v>
      </c>
      <c r="BH52"/>
    </row>
    <row r="53" spans="1:60" s="7" customFormat="1" ht="12.75">
      <c r="A53" s="485" t="s">
        <v>7</v>
      </c>
      <c r="B53" s="528">
        <f>B2</f>
        <v>0</v>
      </c>
      <c r="C53" s="510" t="s">
        <v>8</v>
      </c>
      <c r="D53" s="522">
        <f>D2</f>
        <v>0</v>
      </c>
      <c r="E53" s="519"/>
      <c r="F53" s="511"/>
      <c r="G53" s="14"/>
      <c r="H53" s="13"/>
      <c r="K53" s="13"/>
      <c r="L53" s="6"/>
      <c r="M53" s="6"/>
      <c r="N53"/>
      <c r="AO53">
        <f t="shared" si="18"/>
        <v>292.20847551671983</v>
      </c>
      <c r="AP53">
        <v>5.1</v>
      </c>
      <c r="AQ53">
        <f t="shared" si="19"/>
        <v>0.7532268352909666</v>
      </c>
      <c r="AR53">
        <f t="shared" si="20"/>
        <v>0.915026767617611</v>
      </c>
      <c r="AS53" s="232">
        <f t="shared" si="24"/>
        <v>0.9590381928481777</v>
      </c>
      <c r="AT53">
        <f t="shared" si="21"/>
        <v>0.915026767617611</v>
      </c>
      <c r="AU53">
        <f t="shared" si="22"/>
        <v>0.08497323238238896</v>
      </c>
      <c r="AV53">
        <f t="shared" si="23"/>
        <v>-0.41502676761761104</v>
      </c>
      <c r="AW53" s="232">
        <f t="shared" si="17"/>
        <v>0.9590381928481777</v>
      </c>
      <c r="AX53"/>
      <c r="AY53">
        <f t="shared" si="32"/>
        <v>1</v>
      </c>
      <c r="AZ53">
        <f t="shared" si="25"/>
        <v>0.01866025403784439</v>
      </c>
      <c r="BA53">
        <f t="shared" si="26"/>
        <v>-0.03732050807568878</v>
      </c>
      <c r="BB53">
        <f t="shared" si="27"/>
        <v>0</v>
      </c>
      <c r="BC53">
        <f t="shared" si="28"/>
        <v>0</v>
      </c>
      <c r="BD53">
        <f t="shared" si="29"/>
        <v>0</v>
      </c>
      <c r="BE53">
        <f t="shared" si="30"/>
        <v>0</v>
      </c>
      <c r="BF53">
        <f t="shared" si="33"/>
        <v>0</v>
      </c>
      <c r="BG53">
        <f t="shared" si="31"/>
        <v>1</v>
      </c>
      <c r="BH53"/>
    </row>
    <row r="54" spans="1:60" s="5" customFormat="1" ht="12.75">
      <c r="A54" s="493"/>
      <c r="B54" s="512" t="s">
        <v>9</v>
      </c>
      <c r="C54" s="522">
        <f>C3</f>
        <v>0</v>
      </c>
      <c r="D54" s="520"/>
      <c r="E54" s="464" t="s">
        <v>10</v>
      </c>
      <c r="F54" s="524">
        <f>F3</f>
        <v>0</v>
      </c>
      <c r="G54" s="14"/>
      <c r="H54" s="13"/>
      <c r="I54" s="7"/>
      <c r="K54" s="13"/>
      <c r="L54" s="6"/>
      <c r="M54" s="6"/>
      <c r="N54" s="6"/>
      <c r="AO54">
        <f t="shared" si="18"/>
        <v>297.9380534680281</v>
      </c>
      <c r="AP54">
        <v>5.2</v>
      </c>
      <c r="AQ54">
        <f t="shared" si="19"/>
        <v>0.7604318319650192</v>
      </c>
      <c r="AR54">
        <f t="shared" si="20"/>
        <v>0.9284443766844737</v>
      </c>
      <c r="AS54" s="232">
        <f t="shared" si="24"/>
        <v>0.9682118795332668</v>
      </c>
      <c r="AT54">
        <f t="shared" si="21"/>
        <v>0.9284443766844737</v>
      </c>
      <c r="AU54">
        <f t="shared" si="22"/>
        <v>0.07155562331552634</v>
      </c>
      <c r="AV54">
        <f t="shared" si="23"/>
        <v>-0.42844437668447366</v>
      </c>
      <c r="AW54" s="232">
        <f t="shared" si="17"/>
        <v>0.9682118795332668</v>
      </c>
      <c r="AX54"/>
      <c r="AY54">
        <f t="shared" si="32"/>
        <v>1</v>
      </c>
      <c r="AZ54">
        <f t="shared" si="25"/>
        <v>0.01866025403784439</v>
      </c>
      <c r="BA54">
        <f t="shared" si="26"/>
        <v>-0.03732050807568878</v>
      </c>
      <c r="BB54">
        <f t="shared" si="27"/>
        <v>0</v>
      </c>
      <c r="BC54">
        <f t="shared" si="28"/>
        <v>0</v>
      </c>
      <c r="BD54">
        <f t="shared" si="29"/>
        <v>0</v>
      </c>
      <c r="BE54">
        <f t="shared" si="30"/>
        <v>0</v>
      </c>
      <c r="BF54">
        <f t="shared" si="33"/>
        <v>0</v>
      </c>
      <c r="BG54">
        <f t="shared" si="31"/>
        <v>1</v>
      </c>
      <c r="BH54"/>
    </row>
    <row r="55" spans="1:59" ht="14.25" customHeight="1">
      <c r="A55" s="34"/>
      <c r="B55" s="513" t="s">
        <v>20</v>
      </c>
      <c r="C55" s="522">
        <f>C4</f>
        <v>0</v>
      </c>
      <c r="D55" s="521"/>
      <c r="E55" s="464" t="s">
        <v>21</v>
      </c>
      <c r="F55" s="524">
        <f>F4</f>
        <v>0</v>
      </c>
      <c r="G55" s="11"/>
      <c r="H55" s="19"/>
      <c r="I55" s="5"/>
      <c r="R55" s="2">
        <v>5.6116</v>
      </c>
      <c r="S55" s="228">
        <v>2.461</v>
      </c>
      <c r="T55" s="3"/>
      <c r="U55" s="3"/>
      <c r="V55" s="330" t="s">
        <v>141</v>
      </c>
      <c r="W55" s="331"/>
      <c r="X55" s="332"/>
      <c r="AO55">
        <f t="shared" si="18"/>
        <v>303.6676314193363</v>
      </c>
      <c r="AP55">
        <v>5.3</v>
      </c>
      <c r="AQ55">
        <f t="shared" si="19"/>
        <v>0.7665334302779876</v>
      </c>
      <c r="AR55">
        <f t="shared" si="20"/>
        <v>0.940791097939143</v>
      </c>
      <c r="AS55" s="232">
        <f t="shared" si="24"/>
        <v>0.9759806757914276</v>
      </c>
      <c r="AT55">
        <f t="shared" si="21"/>
        <v>0.940791097939143</v>
      </c>
      <c r="AU55">
        <f t="shared" si="22"/>
        <v>0.05920890206085705</v>
      </c>
      <c r="AV55">
        <f t="shared" si="23"/>
        <v>-0.44079109793914295</v>
      </c>
      <c r="AW55" s="232">
        <f t="shared" si="17"/>
        <v>0.9759806757914276</v>
      </c>
      <c r="AY55">
        <f t="shared" si="32"/>
        <v>1</v>
      </c>
      <c r="AZ55">
        <f t="shared" si="25"/>
        <v>0.01866025403784439</v>
      </c>
      <c r="BA55">
        <f t="shared" si="26"/>
        <v>-0.03732050807568878</v>
      </c>
      <c r="BB55">
        <f t="shared" si="27"/>
        <v>0</v>
      </c>
      <c r="BC55">
        <f t="shared" si="28"/>
        <v>0</v>
      </c>
      <c r="BD55">
        <f t="shared" si="29"/>
        <v>0</v>
      </c>
      <c r="BE55">
        <f t="shared" si="30"/>
        <v>0</v>
      </c>
      <c r="BF55">
        <f t="shared" si="33"/>
        <v>0</v>
      </c>
      <c r="BG55">
        <f t="shared" si="31"/>
        <v>1</v>
      </c>
    </row>
    <row r="56" spans="1:59" ht="14.25" customHeight="1" thickBot="1">
      <c r="A56" s="60"/>
      <c r="B56" s="514" t="s">
        <v>25</v>
      </c>
      <c r="C56" s="523">
        <f>C5</f>
        <v>1</v>
      </c>
      <c r="D56" s="515"/>
      <c r="E56" s="465" t="s">
        <v>26</v>
      </c>
      <c r="F56" s="525">
        <f>F5</f>
        <v>0</v>
      </c>
      <c r="G56" s="11"/>
      <c r="H56" s="19"/>
      <c r="I56" s="5"/>
      <c r="Q56" s="305" t="s">
        <v>6</v>
      </c>
      <c r="R56" s="326" t="s">
        <v>147</v>
      </c>
      <c r="S56" s="327" t="s">
        <v>148</v>
      </c>
      <c r="T56" s="328"/>
      <c r="U56" s="328" t="s">
        <v>149</v>
      </c>
      <c r="V56" s="254"/>
      <c r="W56" s="254" t="s">
        <v>150</v>
      </c>
      <c r="X56" s="254">
        <v>0</v>
      </c>
      <c r="Y56" s="254">
        <v>0.4</v>
      </c>
      <c r="Z56" s="254">
        <v>0.6</v>
      </c>
      <c r="AA56" s="254">
        <v>0.8</v>
      </c>
      <c r="AB56" s="255">
        <v>1</v>
      </c>
      <c r="AO56">
        <f t="shared" si="18"/>
        <v>309.3972093706446</v>
      </c>
      <c r="AP56">
        <v>5.4</v>
      </c>
      <c r="AQ56">
        <f t="shared" si="19"/>
        <v>0.7715955609444984</v>
      </c>
      <c r="AR56">
        <f t="shared" si="20"/>
        <v>0.9520360710085306</v>
      </c>
      <c r="AS56" s="232">
        <f t="shared" si="24"/>
        <v>0.9824259807366457</v>
      </c>
      <c r="AT56">
        <f t="shared" si="21"/>
        <v>0.9520360710085306</v>
      </c>
      <c r="AU56">
        <f t="shared" si="22"/>
        <v>0.047963928991469396</v>
      </c>
      <c r="AV56">
        <f t="shared" si="23"/>
        <v>-0.4520360710085306</v>
      </c>
      <c r="AW56" s="232">
        <f t="shared" si="17"/>
        <v>0.9824259807366457</v>
      </c>
      <c r="AY56">
        <f t="shared" si="32"/>
        <v>1</v>
      </c>
      <c r="AZ56">
        <f t="shared" si="25"/>
        <v>0.01866025403784439</v>
      </c>
      <c r="BA56">
        <f t="shared" si="26"/>
        <v>-0.03732050807568878</v>
      </c>
      <c r="BB56">
        <f t="shared" si="27"/>
        <v>0</v>
      </c>
      <c r="BC56">
        <f t="shared" si="28"/>
        <v>0</v>
      </c>
      <c r="BD56">
        <f t="shared" si="29"/>
        <v>0</v>
      </c>
      <c r="BE56">
        <f t="shared" si="30"/>
        <v>0</v>
      </c>
      <c r="BF56">
        <f t="shared" si="33"/>
        <v>0</v>
      </c>
      <c r="BG56">
        <f t="shared" si="31"/>
        <v>1</v>
      </c>
    </row>
    <row r="57" spans="1:59" ht="14.25" thickBot="1" thickTop="1">
      <c r="A57" s="466"/>
      <c r="B57" s="467"/>
      <c r="C57" s="467"/>
      <c r="D57" s="468"/>
      <c r="E57" s="469"/>
      <c r="F57" s="470"/>
      <c r="G57" s="11"/>
      <c r="H57" s="19"/>
      <c r="I57" s="5"/>
      <c r="Q57" s="307">
        <v>1</v>
      </c>
      <c r="R57" s="375">
        <f aca="true" t="shared" si="34" ref="R57:R68">($F$59/$H$58)/($R$55*Q57^$S$55)/$C$5</f>
        <v>0</v>
      </c>
      <c r="S57" s="375">
        <f aca="true" t="shared" si="35" ref="S57:S68">($F$59/$H$58)/($R$55*Q57^$S$55+12*0.1438*Q57^2.4811)/$C$5</f>
        <v>0</v>
      </c>
      <c r="T57" s="6">
        <f>B60</f>
        <v>0</v>
      </c>
      <c r="U57" s="6">
        <f>B61</f>
        <v>0</v>
      </c>
      <c r="V57" s="5">
        <v>5.48</v>
      </c>
      <c r="W57" s="5">
        <v>2.13</v>
      </c>
      <c r="X57" s="5">
        <f aca="true" t="shared" si="36" ref="X57:X68">Q57</f>
        <v>1</v>
      </c>
      <c r="Y57" s="5">
        <f>$Q57*Y$56</f>
        <v>0.4</v>
      </c>
      <c r="Z57" s="5">
        <f>$Q57*Z$56</f>
        <v>0.6</v>
      </c>
      <c r="AA57" s="5">
        <f>$Q57*AA$56</f>
        <v>0.8</v>
      </c>
      <c r="AB57" s="249">
        <f>$Q57*AB$56</f>
        <v>1</v>
      </c>
      <c r="AO57">
        <f t="shared" si="18"/>
        <v>315.1267873219528</v>
      </c>
      <c r="AP57">
        <v>5.5</v>
      </c>
      <c r="AQ57">
        <f t="shared" si="19"/>
        <v>0.775692540696299</v>
      </c>
      <c r="AR57">
        <f t="shared" si="20"/>
        <v>0.9621511893162318</v>
      </c>
      <c r="AS57" s="232">
        <f t="shared" si="24"/>
        <v>0.9876424173706174</v>
      </c>
      <c r="AT57">
        <f t="shared" si="21"/>
        <v>0.9621511893162318</v>
      </c>
      <c r="AU57">
        <f t="shared" si="22"/>
        <v>0.03784881068376822</v>
      </c>
      <c r="AV57">
        <f t="shared" si="23"/>
        <v>-0.4621511893162318</v>
      </c>
      <c r="AW57" s="232">
        <f t="shared" si="17"/>
        <v>0.9876424173706174</v>
      </c>
      <c r="AY57">
        <f t="shared" si="32"/>
        <v>1</v>
      </c>
      <c r="AZ57">
        <f t="shared" si="25"/>
        <v>0.01866025403784439</v>
      </c>
      <c r="BA57">
        <f t="shared" si="26"/>
        <v>-0.03732050807568878</v>
      </c>
      <c r="BB57">
        <f t="shared" si="27"/>
        <v>0</v>
      </c>
      <c r="BC57">
        <f t="shared" si="28"/>
        <v>0</v>
      </c>
      <c r="BD57">
        <f t="shared" si="29"/>
        <v>0</v>
      </c>
      <c r="BE57">
        <f t="shared" si="30"/>
        <v>0</v>
      </c>
      <c r="BF57">
        <f t="shared" si="33"/>
        <v>0</v>
      </c>
      <c r="BG57">
        <f t="shared" si="31"/>
        <v>1</v>
      </c>
    </row>
    <row r="58" spans="1:59" ht="21.75" thickBot="1" thickTop="1">
      <c r="A58" s="55" t="s">
        <v>138</v>
      </c>
      <c r="B58" s="56"/>
      <c r="C58" s="56"/>
      <c r="D58" s="57"/>
      <c r="E58" s="57"/>
      <c r="F58" s="423" t="s">
        <v>139</v>
      </c>
      <c r="G58" s="243" t="s">
        <v>140</v>
      </c>
      <c r="H58" s="242">
        <f>C5</f>
        <v>1</v>
      </c>
      <c r="Q58" s="307">
        <v>2</v>
      </c>
      <c r="R58" s="375">
        <f t="shared" si="34"/>
        <v>0</v>
      </c>
      <c r="S58" s="375">
        <f t="shared" si="35"/>
        <v>0</v>
      </c>
      <c r="T58" s="6"/>
      <c r="U58" s="6"/>
      <c r="V58" s="5">
        <v>6.4</v>
      </c>
      <c r="W58" s="5">
        <v>2.43</v>
      </c>
      <c r="X58" s="5">
        <f t="shared" si="36"/>
        <v>2</v>
      </c>
      <c r="Y58" s="5">
        <f aca="true" t="shared" si="37" ref="Y58:Y68">Q58*Y$56</f>
        <v>0.8</v>
      </c>
      <c r="Z58" s="5">
        <f aca="true" t="shared" si="38" ref="Z58:AB68">$Q58*Z$56</f>
        <v>1.2</v>
      </c>
      <c r="AA58" s="5">
        <f t="shared" si="38"/>
        <v>1.6</v>
      </c>
      <c r="AB58" s="249">
        <f t="shared" si="38"/>
        <v>2</v>
      </c>
      <c r="AO58">
        <f t="shared" si="18"/>
        <v>320.85636527326096</v>
      </c>
      <c r="AP58">
        <v>5.6</v>
      </c>
      <c r="AQ58">
        <f t="shared" si="19"/>
        <v>0.7789083297340401</v>
      </c>
      <c r="AR58">
        <f t="shared" si="20"/>
        <v>0.971111170334329</v>
      </c>
      <c r="AS58" s="232">
        <f t="shared" si="24"/>
        <v>0.9917368871409953</v>
      </c>
      <c r="AT58">
        <f t="shared" si="21"/>
        <v>0.971111170334329</v>
      </c>
      <c r="AU58">
        <f t="shared" si="22"/>
        <v>0.028888829665670968</v>
      </c>
      <c r="AV58">
        <f t="shared" si="23"/>
        <v>-0.47111117033432903</v>
      </c>
      <c r="AW58" s="232">
        <f t="shared" si="17"/>
        <v>0.9917368871409953</v>
      </c>
      <c r="AY58">
        <f t="shared" si="32"/>
        <v>1</v>
      </c>
      <c r="AZ58">
        <f t="shared" si="25"/>
        <v>0.01866025403784439</v>
      </c>
      <c r="BA58">
        <f t="shared" si="26"/>
        <v>-0.03732050807568878</v>
      </c>
      <c r="BB58">
        <f t="shared" si="27"/>
        <v>0</v>
      </c>
      <c r="BC58">
        <f t="shared" si="28"/>
        <v>0</v>
      </c>
      <c r="BD58">
        <f t="shared" si="29"/>
        <v>0</v>
      </c>
      <c r="BE58">
        <f t="shared" si="30"/>
        <v>0</v>
      </c>
      <c r="BF58">
        <f t="shared" si="33"/>
        <v>0</v>
      </c>
      <c r="BG58">
        <f t="shared" si="31"/>
        <v>1</v>
      </c>
    </row>
    <row r="59" spans="1:59" ht="39" thickBot="1">
      <c r="A59" s="34"/>
      <c r="B59" s="5"/>
      <c r="C59" s="147" t="s">
        <v>142</v>
      </c>
      <c r="D59" s="127"/>
      <c r="E59" s="127" t="s">
        <v>143</v>
      </c>
      <c r="F59" s="128">
        <f>F35</f>
        <v>0</v>
      </c>
      <c r="G59" s="79" t="s">
        <v>144</v>
      </c>
      <c r="H59" s="80" t="s">
        <v>145</v>
      </c>
      <c r="I59" s="81" t="s">
        <v>146</v>
      </c>
      <c r="N59" s="205" t="s">
        <v>156</v>
      </c>
      <c r="O59" s="82"/>
      <c r="Q59" s="307">
        <v>3</v>
      </c>
      <c r="R59" s="375">
        <f t="shared" si="34"/>
        <v>0</v>
      </c>
      <c r="S59" s="375">
        <f t="shared" si="35"/>
        <v>0</v>
      </c>
      <c r="T59" s="6"/>
      <c r="U59" s="6"/>
      <c r="V59" s="5">
        <v>7.31</v>
      </c>
      <c r="W59" s="5">
        <v>2.43</v>
      </c>
      <c r="X59" s="5">
        <f t="shared" si="36"/>
        <v>3</v>
      </c>
      <c r="Y59" s="5">
        <f t="shared" si="37"/>
        <v>1.2000000000000002</v>
      </c>
      <c r="Z59" s="5">
        <f t="shared" si="38"/>
        <v>1.7999999999999998</v>
      </c>
      <c r="AA59" s="5">
        <f t="shared" si="38"/>
        <v>2.4000000000000004</v>
      </c>
      <c r="AB59" s="249">
        <f t="shared" si="38"/>
        <v>3</v>
      </c>
      <c r="AO59">
        <f t="shared" si="18"/>
        <v>326.58594322456923</v>
      </c>
      <c r="AP59">
        <v>5.7</v>
      </c>
      <c r="AQ59">
        <f t="shared" si="19"/>
        <v>0.7813356928247047</v>
      </c>
      <c r="AR59">
        <f t="shared" si="20"/>
        <v>0.9788936187765451</v>
      </c>
      <c r="AS59" s="232">
        <f t="shared" si="24"/>
        <v>0.99482750181746</v>
      </c>
      <c r="AT59">
        <f t="shared" si="21"/>
        <v>0.9788936187765451</v>
      </c>
      <c r="AU59">
        <f t="shared" si="22"/>
        <v>0.021106381223454873</v>
      </c>
      <c r="AV59">
        <f t="shared" si="23"/>
        <v>-0.4788936187765451</v>
      </c>
      <c r="AW59" s="232">
        <f t="shared" si="17"/>
        <v>0.99482750181746</v>
      </c>
      <c r="AY59">
        <f t="shared" si="32"/>
        <v>1</v>
      </c>
      <c r="AZ59">
        <f t="shared" si="25"/>
        <v>0.01866025403784439</v>
      </c>
      <c r="BA59">
        <f t="shared" si="26"/>
        <v>-0.03732050807568878</v>
      </c>
      <c r="BB59">
        <f t="shared" si="27"/>
        <v>0</v>
      </c>
      <c r="BC59">
        <f t="shared" si="28"/>
        <v>0</v>
      </c>
      <c r="BD59">
        <f t="shared" si="29"/>
        <v>0</v>
      </c>
      <c r="BE59">
        <f t="shared" si="30"/>
        <v>0</v>
      </c>
      <c r="BF59">
        <f t="shared" si="33"/>
        <v>0</v>
      </c>
      <c r="BG59">
        <f t="shared" si="31"/>
        <v>1</v>
      </c>
    </row>
    <row r="60" spans="1:59" ht="12.75">
      <c r="A60" s="440" t="s">
        <v>151</v>
      </c>
      <c r="B60" s="431"/>
      <c r="C60" s="473">
        <f>B60*3.2808</f>
        <v>0</v>
      </c>
      <c r="D60" s="134"/>
      <c r="E60" s="134"/>
      <c r="F60" s="131"/>
      <c r="G60" s="333">
        <v>0.35</v>
      </c>
      <c r="H60" s="87">
        <f>IF(C5&gt;0,ROUNDDOWN(((($F$35/$H$58)/($G$60*$R$55+$G$60*($B$69*100)*0.1438))^(1/($S$55+1)))*2,0)/2,)</f>
        <v>0</v>
      </c>
      <c r="I60" s="88">
        <f>IF(C5&gt;0,I61+0.5,)</f>
        <v>0.5</v>
      </c>
      <c r="N60" s="83" t="s">
        <v>157</v>
      </c>
      <c r="O60" s="84" t="s">
        <v>158</v>
      </c>
      <c r="Q60" s="307">
        <v>4</v>
      </c>
      <c r="R60" s="375">
        <f t="shared" si="34"/>
        <v>0</v>
      </c>
      <c r="S60" s="375">
        <f t="shared" si="35"/>
        <v>0</v>
      </c>
      <c r="T60" s="6"/>
      <c r="U60" s="6"/>
      <c r="V60" s="5">
        <v>7.31</v>
      </c>
      <c r="W60" s="5">
        <v>3.05</v>
      </c>
      <c r="X60" s="5">
        <f t="shared" si="36"/>
        <v>4</v>
      </c>
      <c r="Y60" s="5">
        <f t="shared" si="37"/>
        <v>1.6</v>
      </c>
      <c r="Z60" s="5">
        <f t="shared" si="38"/>
        <v>2.4</v>
      </c>
      <c r="AA60" s="5">
        <f t="shared" si="38"/>
        <v>3.2</v>
      </c>
      <c r="AB60" s="249">
        <f t="shared" si="38"/>
        <v>4</v>
      </c>
      <c r="AO60">
        <f t="shared" si="18"/>
        <v>332.31552117587745</v>
      </c>
      <c r="AP60">
        <v>5.8</v>
      </c>
      <c r="AQ60">
        <f t="shared" si="19"/>
        <v>0.7830752724267196</v>
      </c>
      <c r="AR60">
        <f t="shared" si="20"/>
        <v>0.9854790825747952</v>
      </c>
      <c r="AS60" s="232">
        <f t="shared" si="24"/>
        <v>0.99704240335796</v>
      </c>
      <c r="AT60">
        <f t="shared" si="21"/>
        <v>0.9854790825747952</v>
      </c>
      <c r="AU60">
        <f t="shared" si="22"/>
        <v>0.014520917425204782</v>
      </c>
      <c r="AV60">
        <f t="shared" si="23"/>
        <v>-0.4854790825747952</v>
      </c>
      <c r="AW60" s="232">
        <f t="shared" si="17"/>
        <v>0.99704240335796</v>
      </c>
      <c r="AY60">
        <f t="shared" si="32"/>
        <v>1</v>
      </c>
      <c r="AZ60">
        <f t="shared" si="25"/>
        <v>0.01866025403784439</v>
      </c>
      <c r="BA60">
        <f t="shared" si="26"/>
        <v>-0.03732050807568878</v>
      </c>
      <c r="BB60">
        <f t="shared" si="27"/>
        <v>0</v>
      </c>
      <c r="BC60">
        <f t="shared" si="28"/>
        <v>0</v>
      </c>
      <c r="BD60">
        <f t="shared" si="29"/>
        <v>0</v>
      </c>
      <c r="BE60">
        <f t="shared" si="30"/>
        <v>0</v>
      </c>
      <c r="BF60">
        <f t="shared" si="33"/>
        <v>0</v>
      </c>
      <c r="BG60">
        <f t="shared" si="31"/>
        <v>1</v>
      </c>
    </row>
    <row r="61" spans="1:59" ht="13.5" thickBot="1">
      <c r="A61" s="440" t="s">
        <v>152</v>
      </c>
      <c r="B61" s="431"/>
      <c r="C61" s="473">
        <f>B61*3.2808</f>
        <v>0</v>
      </c>
      <c r="D61" s="134"/>
      <c r="E61" s="48" t="s">
        <v>153</v>
      </c>
      <c r="F61" s="324">
        <f>IF(B61&gt;0,B61+3*F64*TAN(B71*PI()/180)/4,)</f>
        <v>0</v>
      </c>
      <c r="G61" s="372"/>
      <c r="H61" s="334">
        <f>IF(C5&gt;0,ROUNDUP(((($F$35/$H$58)/($G$60*$R$55+$G$60*($B$69*100)*0.1438))^(1/($S$55+1)))*2,0)/2,)</f>
        <v>0</v>
      </c>
      <c r="I61" s="89">
        <f>ROUNDUP($H$61*$G$60*2,0)/2</f>
        <v>0</v>
      </c>
      <c r="N61" s="83">
        <v>5</v>
      </c>
      <c r="O61" s="84">
        <v>0.46</v>
      </c>
      <c r="Q61" s="307">
        <v>5</v>
      </c>
      <c r="R61" s="375">
        <f t="shared" si="34"/>
        <v>0</v>
      </c>
      <c r="S61" s="375">
        <f t="shared" si="35"/>
        <v>0</v>
      </c>
      <c r="T61" s="6"/>
      <c r="U61" s="6"/>
      <c r="V61" s="5">
        <v>8.22</v>
      </c>
      <c r="W61" s="5">
        <v>4.41</v>
      </c>
      <c r="X61" s="5">
        <f t="shared" si="36"/>
        <v>5</v>
      </c>
      <c r="Y61" s="5">
        <f t="shared" si="37"/>
        <v>2</v>
      </c>
      <c r="Z61" s="5">
        <f t="shared" si="38"/>
        <v>3</v>
      </c>
      <c r="AA61" s="5">
        <f t="shared" si="38"/>
        <v>4</v>
      </c>
      <c r="AB61" s="249">
        <f t="shared" si="38"/>
        <v>5</v>
      </c>
      <c r="AO61">
        <f t="shared" si="18"/>
        <v>338.0450991271857</v>
      </c>
      <c r="AP61">
        <v>5.9</v>
      </c>
      <c r="AQ61">
        <f t="shared" si="19"/>
        <v>0.7842345831037796</v>
      </c>
      <c r="AR61">
        <f t="shared" si="20"/>
        <v>0.9908511014992271</v>
      </c>
      <c r="AS61" s="232">
        <f t="shared" si="24"/>
        <v>0.9985184835566264</v>
      </c>
      <c r="AT61">
        <f t="shared" si="21"/>
        <v>0.9908511014992271</v>
      </c>
      <c r="AU61">
        <f t="shared" si="22"/>
        <v>0.00914889850077294</v>
      </c>
      <c r="AV61">
        <f t="shared" si="23"/>
        <v>-0.49085110149922706</v>
      </c>
      <c r="AW61" s="232">
        <f t="shared" si="17"/>
        <v>0.9985184835566264</v>
      </c>
      <c r="AY61">
        <f t="shared" si="32"/>
        <v>1</v>
      </c>
      <c r="AZ61">
        <f t="shared" si="25"/>
        <v>0.01866025403784439</v>
      </c>
      <c r="BA61">
        <f t="shared" si="26"/>
        <v>-0.03732050807568878</v>
      </c>
      <c r="BB61">
        <f t="shared" si="27"/>
        <v>0</v>
      </c>
      <c r="BC61">
        <f t="shared" si="28"/>
        <v>0</v>
      </c>
      <c r="BD61">
        <f t="shared" si="29"/>
        <v>0</v>
      </c>
      <c r="BE61">
        <f t="shared" si="30"/>
        <v>0</v>
      </c>
      <c r="BF61">
        <f t="shared" si="33"/>
        <v>0</v>
      </c>
      <c r="BG61">
        <f t="shared" si="31"/>
        <v>1</v>
      </c>
    </row>
    <row r="62" spans="1:59" ht="13.5" thickBot="1">
      <c r="A62" s="441"/>
      <c r="B62" s="125"/>
      <c r="C62" s="5"/>
      <c r="D62" s="134"/>
      <c r="E62" s="127" t="s">
        <v>154</v>
      </c>
      <c r="F62" s="132">
        <f>IF(B60&gt;0,B61/B60,)</f>
        <v>0</v>
      </c>
      <c r="G62" s="269" t="s">
        <v>155</v>
      </c>
      <c r="H62" s="370"/>
      <c r="I62" s="371"/>
      <c r="N62" s="83">
        <v>10</v>
      </c>
      <c r="O62" s="84">
        <v>0.44</v>
      </c>
      <c r="Q62" s="307">
        <v>6</v>
      </c>
      <c r="R62" s="375">
        <f t="shared" si="34"/>
        <v>0</v>
      </c>
      <c r="S62" s="375">
        <f t="shared" si="35"/>
        <v>0</v>
      </c>
      <c r="T62" s="6"/>
      <c r="U62" s="6"/>
      <c r="V62" s="5">
        <v>8.22</v>
      </c>
      <c r="W62" s="5">
        <v>5.18</v>
      </c>
      <c r="X62" s="5">
        <f t="shared" si="36"/>
        <v>6</v>
      </c>
      <c r="Y62" s="5">
        <f t="shared" si="37"/>
        <v>2.4000000000000004</v>
      </c>
      <c r="Z62" s="5">
        <f t="shared" si="38"/>
        <v>3.5999999999999996</v>
      </c>
      <c r="AA62" s="5">
        <f t="shared" si="38"/>
        <v>4.800000000000001</v>
      </c>
      <c r="AB62" s="249">
        <f t="shared" si="38"/>
        <v>6</v>
      </c>
      <c r="AO62">
        <f t="shared" si="18"/>
        <v>343.77467707849394</v>
      </c>
      <c r="AP62">
        <v>6</v>
      </c>
      <c r="AQ62">
        <f t="shared" si="19"/>
        <v>0.7849269372748657</v>
      </c>
      <c r="AR62">
        <f t="shared" si="20"/>
        <v>0.9949962483002227</v>
      </c>
      <c r="AS62" s="232">
        <f t="shared" si="24"/>
        <v>0.9994000162662157</v>
      </c>
      <c r="AT62">
        <f t="shared" si="21"/>
        <v>0.9949962483002227</v>
      </c>
      <c r="AU62">
        <f t="shared" si="22"/>
        <v>0.005003751699777292</v>
      </c>
      <c r="AV62">
        <f t="shared" si="23"/>
        <v>-0.4949962483002227</v>
      </c>
      <c r="AW62" s="232">
        <f t="shared" si="17"/>
        <v>0.9994000162662157</v>
      </c>
      <c r="AY62">
        <f t="shared" si="32"/>
        <v>1</v>
      </c>
      <c r="AZ62">
        <f t="shared" si="25"/>
        <v>0.01866025403784439</v>
      </c>
      <c r="BA62">
        <f t="shared" si="26"/>
        <v>-0.03732050807568878</v>
      </c>
      <c r="BB62">
        <f t="shared" si="27"/>
        <v>0</v>
      </c>
      <c r="BC62">
        <f t="shared" si="28"/>
        <v>0</v>
      </c>
      <c r="BD62">
        <f t="shared" si="29"/>
        <v>0</v>
      </c>
      <c r="BE62">
        <f t="shared" si="30"/>
        <v>0</v>
      </c>
      <c r="BF62">
        <f t="shared" si="33"/>
        <v>0</v>
      </c>
      <c r="BG62">
        <f t="shared" si="31"/>
        <v>1</v>
      </c>
    </row>
    <row r="63" spans="1:59" ht="12.75">
      <c r="A63" s="441"/>
      <c r="B63" s="125"/>
      <c r="C63" s="5"/>
      <c r="D63" s="134"/>
      <c r="E63" s="134"/>
      <c r="F63" s="133"/>
      <c r="N63" s="83">
        <v>15</v>
      </c>
      <c r="O63" s="84">
        <v>0.4</v>
      </c>
      <c r="Q63" s="307">
        <v>7</v>
      </c>
      <c r="R63" s="375">
        <f t="shared" si="34"/>
        <v>0</v>
      </c>
      <c r="S63" s="375">
        <f t="shared" si="35"/>
        <v>0</v>
      </c>
      <c r="T63" s="8"/>
      <c r="U63" s="8"/>
      <c r="V63" s="5">
        <v>8.53</v>
      </c>
      <c r="W63" s="5">
        <v>3.5</v>
      </c>
      <c r="X63" s="5">
        <f t="shared" si="36"/>
        <v>7</v>
      </c>
      <c r="Y63" s="5">
        <f t="shared" si="37"/>
        <v>2.8000000000000003</v>
      </c>
      <c r="Z63" s="5">
        <f t="shared" si="38"/>
        <v>4.2</v>
      </c>
      <c r="AA63" s="5">
        <f t="shared" si="38"/>
        <v>5.6000000000000005</v>
      </c>
      <c r="AB63" s="249">
        <f t="shared" si="38"/>
        <v>7</v>
      </c>
      <c r="AO63">
        <f t="shared" si="18"/>
        <v>349.50425502980215</v>
      </c>
      <c r="AP63">
        <v>6.1</v>
      </c>
      <c r="AQ63">
        <f t="shared" si="19"/>
        <v>0.785270313034012</v>
      </c>
      <c r="AR63">
        <f t="shared" si="20"/>
        <v>0.9979041622695306</v>
      </c>
      <c r="AS63" s="232">
        <f t="shared" si="24"/>
        <v>0.9998372158614641</v>
      </c>
      <c r="AT63">
        <f t="shared" si="21"/>
        <v>0.9979041622695306</v>
      </c>
      <c r="AU63">
        <f t="shared" si="22"/>
        <v>0.0020958377304693965</v>
      </c>
      <c r="AV63">
        <f t="shared" si="23"/>
        <v>-0.4979041622695306</v>
      </c>
      <c r="AW63" s="232">
        <f t="shared" si="17"/>
        <v>0.9998372158614641</v>
      </c>
      <c r="AY63">
        <f t="shared" si="32"/>
        <v>1</v>
      </c>
      <c r="AZ63">
        <f t="shared" si="25"/>
        <v>0.01866025403784439</v>
      </c>
      <c r="BA63">
        <f t="shared" si="26"/>
        <v>-0.03732050807568878</v>
      </c>
      <c r="BB63">
        <f t="shared" si="27"/>
        <v>0</v>
      </c>
      <c r="BC63">
        <f t="shared" si="28"/>
        <v>0</v>
      </c>
      <c r="BD63">
        <f t="shared" si="29"/>
        <v>0</v>
      </c>
      <c r="BE63">
        <f t="shared" si="30"/>
        <v>0</v>
      </c>
      <c r="BF63">
        <f t="shared" si="33"/>
        <v>0</v>
      </c>
      <c r="BG63">
        <f t="shared" si="31"/>
        <v>1</v>
      </c>
    </row>
    <row r="64" spans="1:59" ht="12.75">
      <c r="A64" s="35" t="s">
        <v>207</v>
      </c>
      <c r="B64" s="437">
        <v>0.1</v>
      </c>
      <c r="C64" s="129"/>
      <c r="D64" s="134"/>
      <c r="E64" s="134" t="s">
        <v>160</v>
      </c>
      <c r="F64" s="135">
        <f>IF(B60&gt;0,B60-2*B64,)</f>
        <v>0</v>
      </c>
      <c r="G64" s="110" t="s">
        <v>161</v>
      </c>
      <c r="H64" s="4"/>
      <c r="N64" s="83">
        <v>20</v>
      </c>
      <c r="O64" s="84">
        <v>0.37</v>
      </c>
      <c r="P64" s="5"/>
      <c r="Q64" s="307">
        <v>8</v>
      </c>
      <c r="R64" s="375">
        <f t="shared" si="34"/>
        <v>0</v>
      </c>
      <c r="S64" s="375">
        <f t="shared" si="35"/>
        <v>0</v>
      </c>
      <c r="T64" s="6"/>
      <c r="U64" s="6"/>
      <c r="V64" s="5">
        <v>8.53</v>
      </c>
      <c r="W64" s="5">
        <v>4.26</v>
      </c>
      <c r="X64" s="5">
        <f t="shared" si="36"/>
        <v>8</v>
      </c>
      <c r="Y64" s="5">
        <f t="shared" si="37"/>
        <v>3.2</v>
      </c>
      <c r="Z64" s="5">
        <f t="shared" si="38"/>
        <v>4.8</v>
      </c>
      <c r="AA64" s="5">
        <f t="shared" si="38"/>
        <v>6.4</v>
      </c>
      <c r="AB64" s="249">
        <f t="shared" si="38"/>
        <v>8</v>
      </c>
      <c r="AO64">
        <f t="shared" si="18"/>
        <v>355.2338329811104</v>
      </c>
      <c r="AP64">
        <v>6.2</v>
      </c>
      <c r="AQ64">
        <f t="shared" si="19"/>
        <v>0.785386175352187</v>
      </c>
      <c r="AR64">
        <f t="shared" si="20"/>
        <v>0.9995675751366397</v>
      </c>
      <c r="AS64" s="232">
        <f t="shared" si="24"/>
        <v>0.9999847363467093</v>
      </c>
      <c r="AT64">
        <f t="shared" si="21"/>
        <v>0.9995675751366397</v>
      </c>
      <c r="AU64">
        <f t="shared" si="22"/>
        <v>0.000432424863360259</v>
      </c>
      <c r="AV64">
        <f t="shared" si="23"/>
        <v>-0.49956757513663974</v>
      </c>
      <c r="AW64" s="232">
        <f t="shared" si="17"/>
        <v>0.9999847363467093</v>
      </c>
      <c r="AY64">
        <f t="shared" si="32"/>
        <v>1</v>
      </c>
      <c r="AZ64">
        <f t="shared" si="25"/>
        <v>0.01866025403784439</v>
      </c>
      <c r="BA64">
        <f t="shared" si="26"/>
        <v>-0.03732050807568878</v>
      </c>
      <c r="BB64">
        <f t="shared" si="27"/>
        <v>0</v>
      </c>
      <c r="BC64">
        <f t="shared" si="28"/>
        <v>0</v>
      </c>
      <c r="BD64">
        <f t="shared" si="29"/>
        <v>0</v>
      </c>
      <c r="BE64">
        <f t="shared" si="30"/>
        <v>0</v>
      </c>
      <c r="BF64">
        <f t="shared" si="33"/>
        <v>0</v>
      </c>
      <c r="BG64">
        <f t="shared" si="31"/>
        <v>1</v>
      </c>
    </row>
    <row r="65" spans="1:59" ht="15" customHeight="1">
      <c r="A65" s="35" t="s">
        <v>162</v>
      </c>
      <c r="B65" s="13"/>
      <c r="C65" s="5"/>
      <c r="D65" s="134"/>
      <c r="E65" s="127" t="s">
        <v>163</v>
      </c>
      <c r="F65" s="136">
        <f>IF(B60&gt;0,42.3/F64^0.5,)</f>
        <v>0</v>
      </c>
      <c r="N65" s="83">
        <v>25</v>
      </c>
      <c r="O65" s="84">
        <v>0.34</v>
      </c>
      <c r="P65" s="235"/>
      <c r="Q65" s="307">
        <v>9</v>
      </c>
      <c r="R65" s="375">
        <f t="shared" si="34"/>
        <v>0</v>
      </c>
      <c r="S65" s="375">
        <f t="shared" si="35"/>
        <v>0</v>
      </c>
      <c r="T65" s="6"/>
      <c r="U65" s="6"/>
      <c r="V65" s="5">
        <v>9.14</v>
      </c>
      <c r="W65" s="5">
        <v>3.35</v>
      </c>
      <c r="X65" s="5">
        <f t="shared" si="36"/>
        <v>9</v>
      </c>
      <c r="Y65" s="5">
        <f t="shared" si="37"/>
        <v>3.6</v>
      </c>
      <c r="Z65" s="5">
        <f t="shared" si="38"/>
        <v>5.3999999999999995</v>
      </c>
      <c r="AA65" s="5">
        <f t="shared" si="38"/>
        <v>7.2</v>
      </c>
      <c r="AB65" s="249">
        <f t="shared" si="38"/>
        <v>9</v>
      </c>
      <c r="AO65">
        <f t="shared" si="18"/>
        <v>360.96341093241864</v>
      </c>
      <c r="AP65">
        <v>6.3</v>
      </c>
      <c r="AQ65">
        <f t="shared" si="19"/>
        <v>0.7853982624394563</v>
      </c>
      <c r="AR65">
        <f t="shared" si="20"/>
        <v>0.999982329235671</v>
      </c>
      <c r="AS65" s="232">
        <f t="shared" si="24"/>
        <v>1.0000001261042013</v>
      </c>
      <c r="AT65">
        <f t="shared" si="21"/>
        <v>0.999982329235671</v>
      </c>
      <c r="AU65">
        <f t="shared" si="22"/>
        <v>1.7670764329014155E-05</v>
      </c>
      <c r="AV65">
        <f t="shared" si="23"/>
        <v>-0.499982329235671</v>
      </c>
      <c r="AW65" s="232">
        <f t="shared" si="17"/>
        <v>1.0000001261042013</v>
      </c>
      <c r="AY65">
        <f t="shared" si="32"/>
        <v>1</v>
      </c>
      <c r="AZ65">
        <f t="shared" si="25"/>
        <v>0.01866025403784439</v>
      </c>
      <c r="BA65">
        <f t="shared" si="26"/>
        <v>-0.03732050807568878</v>
      </c>
      <c r="BB65">
        <f t="shared" si="27"/>
        <v>0</v>
      </c>
      <c r="BC65">
        <f t="shared" si="28"/>
        <v>0</v>
      </c>
      <c r="BD65">
        <f t="shared" si="29"/>
        <v>0</v>
      </c>
      <c r="BE65">
        <f t="shared" si="30"/>
        <v>0</v>
      </c>
      <c r="BF65">
        <f t="shared" si="33"/>
        <v>0</v>
      </c>
      <c r="BG65">
        <f t="shared" si="31"/>
        <v>1</v>
      </c>
    </row>
    <row r="66" spans="1:59" ht="12.75">
      <c r="A66" s="35" t="s">
        <v>164</v>
      </c>
      <c r="B66" s="461">
        <v>0.75</v>
      </c>
      <c r="C66" s="137"/>
      <c r="D66" s="134"/>
      <c r="E66" s="127" t="s">
        <v>165</v>
      </c>
      <c r="F66" s="136">
        <f>F65*B66</f>
        <v>0</v>
      </c>
      <c r="N66" s="83">
        <v>30</v>
      </c>
      <c r="O66" s="84">
        <v>0.31</v>
      </c>
      <c r="P66" s="5"/>
      <c r="Q66" s="307">
        <v>10</v>
      </c>
      <c r="R66" s="375">
        <f t="shared" si="34"/>
        <v>0</v>
      </c>
      <c r="S66" s="375">
        <f t="shared" si="35"/>
        <v>0</v>
      </c>
      <c r="T66" s="6"/>
      <c r="U66" s="6"/>
      <c r="V66" s="5">
        <v>9.75</v>
      </c>
      <c r="W66" s="5">
        <v>4.26</v>
      </c>
      <c r="X66" s="5">
        <f t="shared" si="36"/>
        <v>10</v>
      </c>
      <c r="Y66" s="5">
        <f t="shared" si="37"/>
        <v>4</v>
      </c>
      <c r="Z66" s="5">
        <f t="shared" si="38"/>
        <v>6</v>
      </c>
      <c r="AA66" s="5">
        <f t="shared" si="38"/>
        <v>8</v>
      </c>
      <c r="AB66" s="249">
        <f t="shared" si="38"/>
        <v>10</v>
      </c>
      <c r="AS66" s="232"/>
      <c r="AY66">
        <f t="shared" si="32"/>
        <v>1</v>
      </c>
      <c r="AZ66">
        <f t="shared" si="25"/>
        <v>0.01866025403784439</v>
      </c>
      <c r="BA66">
        <f t="shared" si="26"/>
        <v>-0.03732050807568878</v>
      </c>
      <c r="BB66">
        <f t="shared" si="27"/>
        <v>0</v>
      </c>
      <c r="BC66">
        <f t="shared" si="28"/>
        <v>0</v>
      </c>
      <c r="BD66">
        <f t="shared" si="29"/>
        <v>0</v>
      </c>
      <c r="BE66">
        <f t="shared" si="30"/>
        <v>0</v>
      </c>
      <c r="BF66">
        <f t="shared" si="33"/>
        <v>0</v>
      </c>
      <c r="BG66">
        <f t="shared" si="31"/>
        <v>1</v>
      </c>
    </row>
    <row r="67" spans="1:59" ht="12.75">
      <c r="A67" s="44" t="s">
        <v>166</v>
      </c>
      <c r="B67" s="125"/>
      <c r="C67" s="125"/>
      <c r="D67" s="134"/>
      <c r="E67" s="134"/>
      <c r="F67" s="133"/>
      <c r="N67" s="83">
        <v>35</v>
      </c>
      <c r="O67" s="84">
        <v>0.28</v>
      </c>
      <c r="Q67" s="307">
        <v>11</v>
      </c>
      <c r="R67" s="375">
        <f t="shared" si="34"/>
        <v>0</v>
      </c>
      <c r="S67" s="375">
        <f t="shared" si="35"/>
        <v>0</v>
      </c>
      <c r="T67" s="6"/>
      <c r="U67" s="6"/>
      <c r="V67" s="5">
        <v>9.75</v>
      </c>
      <c r="W67" s="5">
        <v>5.48</v>
      </c>
      <c r="X67" s="5">
        <f t="shared" si="36"/>
        <v>11</v>
      </c>
      <c r="Y67" s="5">
        <f t="shared" si="37"/>
        <v>4.4</v>
      </c>
      <c r="Z67" s="5">
        <f t="shared" si="38"/>
        <v>6.6</v>
      </c>
      <c r="AA67" s="5">
        <f t="shared" si="38"/>
        <v>8.8</v>
      </c>
      <c r="AB67" s="249">
        <f t="shared" si="38"/>
        <v>11</v>
      </c>
      <c r="AQ67">
        <f>PI()*(AQ1/2)^2</f>
        <v>0.7853981633974483</v>
      </c>
      <c r="AS67" s="232"/>
      <c r="AY67">
        <f t="shared" si="32"/>
        <v>1</v>
      </c>
      <c r="AZ67">
        <f t="shared" si="25"/>
        <v>0.01866025403784439</v>
      </c>
      <c r="BA67">
        <f t="shared" si="26"/>
        <v>-0.03732050807568878</v>
      </c>
      <c r="BB67">
        <f t="shared" si="27"/>
        <v>0</v>
      </c>
      <c r="BC67">
        <f t="shared" si="28"/>
        <v>0</v>
      </c>
      <c r="BD67">
        <f t="shared" si="29"/>
        <v>0</v>
      </c>
      <c r="BE67">
        <f t="shared" si="30"/>
        <v>0</v>
      </c>
      <c r="BF67">
        <f t="shared" si="33"/>
        <v>0</v>
      </c>
      <c r="BG67">
        <f t="shared" si="31"/>
        <v>1</v>
      </c>
    </row>
    <row r="68" spans="1:59" ht="12.75">
      <c r="A68" s="35" t="s">
        <v>167</v>
      </c>
      <c r="B68" s="456"/>
      <c r="C68" s="129"/>
      <c r="D68" s="134"/>
      <c r="E68" s="134" t="s">
        <v>168</v>
      </c>
      <c r="F68" s="132">
        <f>IF(B70&gt;0,B10/((1-B68)*B10+B68),)</f>
        <v>0</v>
      </c>
      <c r="N68" s="83">
        <v>40</v>
      </c>
      <c r="O68" s="84">
        <v>0.25</v>
      </c>
      <c r="Q68" s="307">
        <v>12</v>
      </c>
      <c r="R68" s="375">
        <f t="shared" si="34"/>
        <v>0</v>
      </c>
      <c r="S68" s="375">
        <f t="shared" si="35"/>
        <v>0</v>
      </c>
      <c r="T68" s="6"/>
      <c r="U68" s="6"/>
      <c r="V68" s="5">
        <v>10.36</v>
      </c>
      <c r="W68" s="5">
        <v>4.26</v>
      </c>
      <c r="X68" s="5">
        <f t="shared" si="36"/>
        <v>12</v>
      </c>
      <c r="Y68" s="5">
        <f t="shared" si="37"/>
        <v>4.800000000000001</v>
      </c>
      <c r="Z68" s="5">
        <f t="shared" si="38"/>
        <v>7.199999999999999</v>
      </c>
      <c r="AA68" s="5">
        <f t="shared" si="38"/>
        <v>9.600000000000001</v>
      </c>
      <c r="AB68" s="249">
        <f t="shared" si="38"/>
        <v>12</v>
      </c>
      <c r="AS68" s="232"/>
      <c r="AY68">
        <f t="shared" si="32"/>
        <v>1</v>
      </c>
      <c r="AZ68">
        <f t="shared" si="25"/>
        <v>0.01866025403784439</v>
      </c>
      <c r="BA68">
        <f t="shared" si="26"/>
        <v>-0.03732050807568878</v>
      </c>
      <c r="BB68">
        <f t="shared" si="27"/>
        <v>0</v>
      </c>
      <c r="BC68">
        <f t="shared" si="28"/>
        <v>0</v>
      </c>
      <c r="BD68">
        <f t="shared" si="29"/>
        <v>0</v>
      </c>
      <c r="BE68">
        <f t="shared" si="30"/>
        <v>0</v>
      </c>
      <c r="BF68">
        <f t="shared" si="33"/>
        <v>0</v>
      </c>
      <c r="BG68">
        <f t="shared" si="31"/>
        <v>1</v>
      </c>
    </row>
    <row r="69" spans="1:59" ht="12.75">
      <c r="A69" s="35" t="s">
        <v>169</v>
      </c>
      <c r="B69" s="456"/>
      <c r="C69" s="129"/>
      <c r="D69" s="134"/>
      <c r="E69" s="127" t="s">
        <v>170</v>
      </c>
      <c r="F69" s="136">
        <f>IF(B70&gt;0,((B69/B70)*7.8+((B70-B69)/B70)*B10)*0.6+F68*0.4,)</f>
        <v>0</v>
      </c>
      <c r="N69" s="83">
        <v>45</v>
      </c>
      <c r="O69" s="84">
        <v>0.22</v>
      </c>
      <c r="Q69" s="290"/>
      <c r="R69" s="13"/>
      <c r="S69" s="6"/>
      <c r="T69" s="6"/>
      <c r="U69" s="6"/>
      <c r="V69" s="5">
        <v>10.36</v>
      </c>
      <c r="W69" s="5">
        <v>4.87</v>
      </c>
      <c r="X69" s="7"/>
      <c r="Y69" s="5">
        <f>Q69*$Y68</f>
        <v>0</v>
      </c>
      <c r="Z69" s="5"/>
      <c r="AA69" s="5"/>
      <c r="AB69" s="249"/>
      <c r="AS69" s="232"/>
      <c r="AY69">
        <f t="shared" si="32"/>
        <v>1</v>
      </c>
      <c r="AZ69">
        <f t="shared" si="25"/>
        <v>0.01866025403784439</v>
      </c>
      <c r="BA69">
        <f t="shared" si="26"/>
        <v>-0.03732050807568878</v>
      </c>
      <c r="BB69">
        <f t="shared" si="27"/>
        <v>0</v>
      </c>
      <c r="BC69">
        <f t="shared" si="28"/>
        <v>0</v>
      </c>
      <c r="BD69">
        <f t="shared" si="29"/>
        <v>0</v>
      </c>
      <c r="BE69">
        <f t="shared" si="30"/>
        <v>0</v>
      </c>
      <c r="BF69">
        <f t="shared" si="33"/>
        <v>0</v>
      </c>
      <c r="BG69">
        <f t="shared" si="31"/>
        <v>1</v>
      </c>
    </row>
    <row r="70" spans="1:59" ht="13.5" thickBot="1">
      <c r="A70" s="35" t="s">
        <v>171</v>
      </c>
      <c r="B70" s="456"/>
      <c r="C70" s="129"/>
      <c r="D70" s="134"/>
      <c r="E70" s="134" t="s">
        <v>172</v>
      </c>
      <c r="F70" s="132">
        <f>(F64*F64*B61*PI()/4)*B70</f>
        <v>0</v>
      </c>
      <c r="G70" t="s">
        <v>208</v>
      </c>
      <c r="N70" s="85">
        <v>50</v>
      </c>
      <c r="O70" s="86">
        <v>0.2</v>
      </c>
      <c r="Q70" s="291"/>
      <c r="R70" s="313"/>
      <c r="S70" s="329"/>
      <c r="T70" s="329"/>
      <c r="U70" s="329"/>
      <c r="V70" s="303"/>
      <c r="W70" s="303"/>
      <c r="X70" s="303"/>
      <c r="Y70" s="292"/>
      <c r="Z70" s="292"/>
      <c r="AA70" s="292"/>
      <c r="AB70" s="256"/>
      <c r="AS70" s="232"/>
      <c r="AY70">
        <f t="shared" si="32"/>
        <v>1</v>
      </c>
      <c r="AZ70">
        <f aca="true" t="shared" si="39" ref="AZ70:AZ102">(AY70/100-0.005)/TAN($AZ$3*PI()/180)</f>
        <v>0.01866025403784439</v>
      </c>
      <c r="BA70">
        <f aca="true" t="shared" si="40" ref="BA70:BA102">$AZ$1-2*AZ70</f>
        <v>-0.03732050807568878</v>
      </c>
      <c r="BB70">
        <f aca="true" t="shared" si="41" ref="BB70:BB102">IF($AZ$4/BA70&lt;0.5,$AZ$4/BA70,0.5)</f>
        <v>0</v>
      </c>
      <c r="BC70">
        <f aca="true" t="shared" si="42" ref="BC70:BC102">IF(BF70+BG70=2,3.1316*BB70^4-1.453*BB70^3+0.5868*BB70^2-1.3257*BB70+0.5,0)</f>
        <v>0</v>
      </c>
      <c r="BD70">
        <f aca="true" t="shared" si="43" ref="BD70:BD102">IF(BF70+BG70=2,(PI()*BA70^2/4),0)*0.01</f>
        <v>0</v>
      </c>
      <c r="BE70">
        <f aca="true" t="shared" si="44" ref="BE70:BE102">BD70*BC70</f>
        <v>0</v>
      </c>
      <c r="BF70">
        <f t="shared" si="33"/>
        <v>0</v>
      </c>
      <c r="BG70">
        <f aca="true" t="shared" si="45" ref="BG70:BG102">IF(BB70=0.5,0,1)</f>
        <v>1</v>
      </c>
    </row>
    <row r="71" spans="1:59" ht="12.75">
      <c r="A71" s="48" t="s">
        <v>174</v>
      </c>
      <c r="B71" s="433">
        <v>15</v>
      </c>
      <c r="C71" s="138"/>
      <c r="D71" s="134"/>
      <c r="E71" s="134" t="s">
        <v>175</v>
      </c>
      <c r="F71" s="132">
        <f>IF(B68&gt;0,IF(B68&gt;0.65,1,1-(65-(B68*100))*0.013),)</f>
        <v>0</v>
      </c>
      <c r="Q71">
        <f>B70</f>
        <v>0</v>
      </c>
      <c r="R71" s="2"/>
      <c r="S71" s="3"/>
      <c r="T71" s="3"/>
      <c r="U71" s="3"/>
      <c r="V71" s="1"/>
      <c r="W71" s="1"/>
      <c r="X71" s="1"/>
      <c r="AS71" s="232"/>
      <c r="AY71">
        <f aca="true" t="shared" si="46" ref="AY71:AY98">IF(BA70-($AZ$1/4)&gt;0,AY70+1,AY70)</f>
        <v>1</v>
      </c>
      <c r="AZ71">
        <f t="shared" si="39"/>
        <v>0.01866025403784439</v>
      </c>
      <c r="BA71">
        <f t="shared" si="40"/>
        <v>-0.03732050807568878</v>
      </c>
      <c r="BB71">
        <f t="shared" si="41"/>
        <v>0</v>
      </c>
      <c r="BC71">
        <f t="shared" si="42"/>
        <v>0</v>
      </c>
      <c r="BD71">
        <f t="shared" si="43"/>
        <v>0</v>
      </c>
      <c r="BE71">
        <f t="shared" si="44"/>
        <v>0</v>
      </c>
      <c r="BF71">
        <f aca="true" t="shared" si="47" ref="BF71:BF98">AY71-AY70</f>
        <v>0</v>
      </c>
      <c r="BG71">
        <f t="shared" si="45"/>
        <v>1</v>
      </c>
    </row>
    <row r="72" spans="1:59" ht="12.75">
      <c r="A72" s="35" t="s">
        <v>176</v>
      </c>
      <c r="B72" s="461">
        <v>0.8</v>
      </c>
      <c r="C72" s="227"/>
      <c r="D72" s="134"/>
      <c r="E72" s="134" t="s">
        <v>177</v>
      </c>
      <c r="F72" s="374">
        <f>IF(B60&gt;0,(B72)*'SAG- BM Combination'!Y284,)</f>
        <v>0</v>
      </c>
      <c r="M72" s="1"/>
      <c r="N72" s="216"/>
      <c r="AS72" s="232"/>
      <c r="AY72">
        <f t="shared" si="46"/>
        <v>1</v>
      </c>
      <c r="AZ72">
        <f t="shared" si="39"/>
        <v>0.01866025403784439</v>
      </c>
      <c r="BA72">
        <f t="shared" si="40"/>
        <v>-0.03732050807568878</v>
      </c>
      <c r="BB72">
        <f t="shared" si="41"/>
        <v>0</v>
      </c>
      <c r="BC72">
        <f t="shared" si="42"/>
        <v>0</v>
      </c>
      <c r="BD72">
        <f t="shared" si="43"/>
        <v>0</v>
      </c>
      <c r="BE72">
        <f t="shared" si="44"/>
        <v>0</v>
      </c>
      <c r="BF72">
        <f t="shared" si="47"/>
        <v>0</v>
      </c>
      <c r="BG72">
        <f t="shared" si="45"/>
        <v>1</v>
      </c>
    </row>
    <row r="73" spans="1:59" ht="13.5" thickBot="1">
      <c r="A73" s="48" t="s">
        <v>178</v>
      </c>
      <c r="B73" s="431"/>
      <c r="C73" s="130"/>
      <c r="D73" s="134"/>
      <c r="E73" s="134" t="s">
        <v>179</v>
      </c>
      <c r="F73" s="139">
        <f>(F70+F72)*F69*1000</f>
        <v>0</v>
      </c>
      <c r="L73" s="1"/>
      <c r="AS73" s="232"/>
      <c r="AY73">
        <f t="shared" si="46"/>
        <v>1</v>
      </c>
      <c r="AZ73">
        <f t="shared" si="39"/>
        <v>0.01866025403784439</v>
      </c>
      <c r="BA73">
        <f t="shared" si="40"/>
        <v>-0.03732050807568878</v>
      </c>
      <c r="BB73">
        <f t="shared" si="41"/>
        <v>0</v>
      </c>
      <c r="BC73">
        <f t="shared" si="42"/>
        <v>0</v>
      </c>
      <c r="BD73">
        <f t="shared" si="43"/>
        <v>0</v>
      </c>
      <c r="BE73">
        <f t="shared" si="44"/>
        <v>0</v>
      </c>
      <c r="BF73">
        <f t="shared" si="47"/>
        <v>0</v>
      </c>
      <c r="BG73">
        <f t="shared" si="45"/>
        <v>1</v>
      </c>
    </row>
    <row r="74" spans="1:59" ht="16.5" thickBot="1">
      <c r="A74" s="34"/>
      <c r="B74" s="5"/>
      <c r="C74" s="125"/>
      <c r="D74" s="134"/>
      <c r="E74" s="134" t="s">
        <v>180</v>
      </c>
      <c r="F74" s="325">
        <f>IF(B70&gt;0,0.1957*Q71^4-0.1817*Q71^3+0.1467*Q71^2-0.6629*Q71+0.501,)</f>
        <v>0</v>
      </c>
      <c r="G74" s="16"/>
      <c r="K74" s="1"/>
      <c r="N74" s="579" t="s">
        <v>5</v>
      </c>
      <c r="O74" s="580"/>
      <c r="P74" s="579" t="s">
        <v>317</v>
      </c>
      <c r="Q74" s="580"/>
      <c r="AS74" s="232"/>
      <c r="AY74">
        <f t="shared" si="46"/>
        <v>1</v>
      </c>
      <c r="AZ74">
        <f t="shared" si="39"/>
        <v>0.01866025403784439</v>
      </c>
      <c r="BA74">
        <f t="shared" si="40"/>
        <v>-0.03732050807568878</v>
      </c>
      <c r="BB74">
        <f t="shared" si="41"/>
        <v>0</v>
      </c>
      <c r="BC74">
        <f t="shared" si="42"/>
        <v>0</v>
      </c>
      <c r="BD74">
        <f t="shared" si="43"/>
        <v>0</v>
      </c>
      <c r="BE74">
        <f t="shared" si="44"/>
        <v>0</v>
      </c>
      <c r="BF74">
        <f t="shared" si="47"/>
        <v>0</v>
      </c>
      <c r="BG74">
        <f t="shared" si="45"/>
        <v>1</v>
      </c>
    </row>
    <row r="75" spans="1:59" ht="21" thickBot="1">
      <c r="A75" s="42"/>
      <c r="B75" s="27"/>
      <c r="C75" s="140"/>
      <c r="D75" s="141"/>
      <c r="E75" s="142" t="s">
        <v>181</v>
      </c>
      <c r="F75" s="143">
        <f>F71*F64*F66*F73*F74/1200</f>
        <v>0</v>
      </c>
      <c r="G75" s="340">
        <f>G93*0.93</f>
        <v>0</v>
      </c>
      <c r="H75" s="341" t="s">
        <v>182</v>
      </c>
      <c r="I75" s="342"/>
      <c r="J75" s="343"/>
      <c r="K75" s="1"/>
      <c r="N75" s="581" t="s">
        <v>501</v>
      </c>
      <c r="O75" s="582" t="s">
        <v>142</v>
      </c>
      <c r="P75" s="581" t="s">
        <v>501</v>
      </c>
      <c r="Q75" s="582" t="s">
        <v>142</v>
      </c>
      <c r="AS75" s="232"/>
      <c r="AY75">
        <f t="shared" si="46"/>
        <v>1</v>
      </c>
      <c r="AZ75">
        <f t="shared" si="39"/>
        <v>0.01866025403784439</v>
      </c>
      <c r="BA75">
        <f t="shared" si="40"/>
        <v>-0.03732050807568878</v>
      </c>
      <c r="BB75">
        <f t="shared" si="41"/>
        <v>0</v>
      </c>
      <c r="BC75">
        <f t="shared" si="42"/>
        <v>0</v>
      </c>
      <c r="BD75">
        <f t="shared" si="43"/>
        <v>0</v>
      </c>
      <c r="BE75">
        <f t="shared" si="44"/>
        <v>0</v>
      </c>
      <c r="BF75">
        <f t="shared" si="47"/>
        <v>0</v>
      </c>
      <c r="BG75">
        <f t="shared" si="45"/>
        <v>1</v>
      </c>
    </row>
    <row r="76" spans="1:59" ht="12.75">
      <c r="A76" s="34"/>
      <c r="B76" s="5"/>
      <c r="C76" s="5"/>
      <c r="D76" s="5"/>
      <c r="E76" s="5"/>
      <c r="F76" s="58"/>
      <c r="G76" s="290"/>
      <c r="H76" s="5"/>
      <c r="I76" s="5"/>
      <c r="J76" s="249"/>
      <c r="K76" s="1"/>
      <c r="N76" s="583">
        <f>O76/3.2808</f>
        <v>7.315288953913679</v>
      </c>
      <c r="O76" s="584">
        <v>24</v>
      </c>
      <c r="P76" s="583">
        <f>Q76/3.2808</f>
        <v>1.21921482565228</v>
      </c>
      <c r="Q76" s="584">
        <v>4</v>
      </c>
      <c r="AS76" s="232"/>
      <c r="AY76">
        <f t="shared" si="46"/>
        <v>1</v>
      </c>
      <c r="AZ76">
        <f t="shared" si="39"/>
        <v>0.01866025403784439</v>
      </c>
      <c r="BA76">
        <f t="shared" si="40"/>
        <v>-0.03732050807568878</v>
      </c>
      <c r="BB76">
        <f t="shared" si="41"/>
        <v>0</v>
      </c>
      <c r="BC76">
        <f t="shared" si="42"/>
        <v>0</v>
      </c>
      <c r="BD76">
        <f t="shared" si="43"/>
        <v>0</v>
      </c>
      <c r="BE76">
        <f t="shared" si="44"/>
        <v>0</v>
      </c>
      <c r="BF76">
        <f t="shared" si="47"/>
        <v>0</v>
      </c>
      <c r="BG76">
        <f t="shared" si="45"/>
        <v>1</v>
      </c>
    </row>
    <row r="77" spans="1:59" ht="18">
      <c r="A77" s="211"/>
      <c r="C77" s="125"/>
      <c r="D77" s="199"/>
      <c r="E77" s="163" t="s">
        <v>183</v>
      </c>
      <c r="F77" s="501">
        <f>ROUNDUP(J77,1)</f>
        <v>0</v>
      </c>
      <c r="I77" s="211" t="s">
        <v>184</v>
      </c>
      <c r="J77" s="578">
        <f>IF(F75&gt;0,F35/F75,)</f>
        <v>0</v>
      </c>
      <c r="K77" s="1"/>
      <c r="N77" s="583">
        <f aca="true" t="shared" si="48" ref="N77:N86">O77/3.2808</f>
        <v>7.924896366739819</v>
      </c>
      <c r="O77" s="584">
        <v>26</v>
      </c>
      <c r="P77" s="583">
        <f aca="true" t="shared" si="49" ref="P77:P86">Q77/3.2808</f>
        <v>1.8288222384784198</v>
      </c>
      <c r="Q77" s="584">
        <v>6</v>
      </c>
      <c r="AS77" s="232"/>
      <c r="AY77">
        <f t="shared" si="46"/>
        <v>1</v>
      </c>
      <c r="AZ77">
        <f t="shared" si="39"/>
        <v>0.01866025403784439</v>
      </c>
      <c r="BA77">
        <f t="shared" si="40"/>
        <v>-0.03732050807568878</v>
      </c>
      <c r="BB77">
        <f t="shared" si="41"/>
        <v>0</v>
      </c>
      <c r="BC77">
        <f t="shared" si="42"/>
        <v>0</v>
      </c>
      <c r="BD77">
        <f t="shared" si="43"/>
        <v>0</v>
      </c>
      <c r="BE77">
        <f t="shared" si="44"/>
        <v>0</v>
      </c>
      <c r="BF77">
        <f t="shared" si="47"/>
        <v>0</v>
      </c>
      <c r="BG77">
        <f t="shared" si="45"/>
        <v>1</v>
      </c>
    </row>
    <row r="78" spans="1:59" ht="18">
      <c r="A78" s="211"/>
      <c r="B78" s="206"/>
      <c r="C78" s="125"/>
      <c r="D78" s="199"/>
      <c r="E78" s="163"/>
      <c r="F78" s="180"/>
      <c r="H78" s="290"/>
      <c r="I78" s="502" t="s">
        <v>185</v>
      </c>
      <c r="J78" s="249"/>
      <c r="K78" s="1"/>
      <c r="N78" s="583">
        <f t="shared" si="48"/>
        <v>8.53450377956596</v>
      </c>
      <c r="O78" s="584">
        <v>28</v>
      </c>
      <c r="P78" s="583">
        <f t="shared" si="49"/>
        <v>2.43842965130456</v>
      </c>
      <c r="Q78" s="584">
        <v>8</v>
      </c>
      <c r="AS78" s="232"/>
      <c r="AY78">
        <f t="shared" si="46"/>
        <v>1</v>
      </c>
      <c r="AZ78">
        <f t="shared" si="39"/>
        <v>0.01866025403784439</v>
      </c>
      <c r="BA78">
        <f t="shared" si="40"/>
        <v>-0.03732050807568878</v>
      </c>
      <c r="BB78">
        <f t="shared" si="41"/>
        <v>0</v>
      </c>
      <c r="BC78">
        <f t="shared" si="42"/>
        <v>0</v>
      </c>
      <c r="BD78">
        <f t="shared" si="43"/>
        <v>0</v>
      </c>
      <c r="BE78">
        <f t="shared" si="44"/>
        <v>0</v>
      </c>
      <c r="BF78">
        <f t="shared" si="47"/>
        <v>0</v>
      </c>
      <c r="BG78">
        <f t="shared" si="45"/>
        <v>1</v>
      </c>
    </row>
    <row r="79" spans="1:59" ht="18.75" thickBot="1">
      <c r="A79" s="60"/>
      <c r="B79" s="61"/>
      <c r="C79" s="207"/>
      <c r="D79" s="208"/>
      <c r="E79" s="209" t="s">
        <v>186</v>
      </c>
      <c r="F79" s="210">
        <f>F77*F75</f>
        <v>0</v>
      </c>
      <c r="G79" s="290"/>
      <c r="H79" s="5"/>
      <c r="I79" s="5"/>
      <c r="J79" s="249"/>
      <c r="K79" s="1"/>
      <c r="N79" s="583">
        <f t="shared" si="48"/>
        <v>9.1441111923921</v>
      </c>
      <c r="O79" s="584">
        <v>30</v>
      </c>
      <c r="P79" s="583">
        <f t="shared" si="49"/>
        <v>3.0480370641306997</v>
      </c>
      <c r="Q79" s="584">
        <v>10</v>
      </c>
      <c r="AS79" s="232"/>
      <c r="AY79">
        <f t="shared" si="46"/>
        <v>1</v>
      </c>
      <c r="AZ79">
        <f t="shared" si="39"/>
        <v>0.01866025403784439</v>
      </c>
      <c r="BA79">
        <f t="shared" si="40"/>
        <v>-0.03732050807568878</v>
      </c>
      <c r="BB79">
        <f t="shared" si="41"/>
        <v>0</v>
      </c>
      <c r="BC79">
        <f t="shared" si="42"/>
        <v>0</v>
      </c>
      <c r="BD79">
        <f t="shared" si="43"/>
        <v>0</v>
      </c>
      <c r="BE79">
        <f t="shared" si="44"/>
        <v>0</v>
      </c>
      <c r="BF79">
        <f t="shared" si="47"/>
        <v>0</v>
      </c>
      <c r="BG79">
        <f t="shared" si="45"/>
        <v>1</v>
      </c>
    </row>
    <row r="80" spans="1:59" ht="13.5" thickTop="1">
      <c r="A80" s="101"/>
      <c r="B80" s="22"/>
      <c r="C80" s="22"/>
      <c r="D80" s="5"/>
      <c r="E80" s="23"/>
      <c r="F80" s="66"/>
      <c r="G80" s="290"/>
      <c r="H80" s="5"/>
      <c r="I80" s="5"/>
      <c r="J80" s="249"/>
      <c r="K80" s="1"/>
      <c r="N80" s="583">
        <f t="shared" si="48"/>
        <v>9.75371860521824</v>
      </c>
      <c r="O80" s="584">
        <v>32</v>
      </c>
      <c r="P80" s="583">
        <f t="shared" si="49"/>
        <v>3.6576444769568397</v>
      </c>
      <c r="Q80" s="584">
        <v>12</v>
      </c>
      <c r="AS80" s="232"/>
      <c r="AY80">
        <f t="shared" si="46"/>
        <v>1</v>
      </c>
      <c r="AZ80">
        <f t="shared" si="39"/>
        <v>0.01866025403784439</v>
      </c>
      <c r="BA80">
        <f t="shared" si="40"/>
        <v>-0.03732050807568878</v>
      </c>
      <c r="BB80">
        <f t="shared" si="41"/>
        <v>0</v>
      </c>
      <c r="BC80">
        <f t="shared" si="42"/>
        <v>0</v>
      </c>
      <c r="BD80">
        <f t="shared" si="43"/>
        <v>0</v>
      </c>
      <c r="BE80">
        <f t="shared" si="44"/>
        <v>0</v>
      </c>
      <c r="BF80">
        <f t="shared" si="47"/>
        <v>0</v>
      </c>
      <c r="BG80">
        <f t="shared" si="45"/>
        <v>1</v>
      </c>
    </row>
    <row r="81" spans="1:59" ht="12.75">
      <c r="A81" s="101"/>
      <c r="B81" s="22"/>
      <c r="C81" s="22"/>
      <c r="D81" s="5"/>
      <c r="E81" s="23"/>
      <c r="F81" s="66"/>
      <c r="G81" s="290"/>
      <c r="H81" s="5"/>
      <c r="I81" s="5"/>
      <c r="J81" s="249"/>
      <c r="K81" s="1"/>
      <c r="N81" s="583">
        <f t="shared" si="48"/>
        <v>10.36332601804438</v>
      </c>
      <c r="O81" s="584">
        <v>34</v>
      </c>
      <c r="P81" s="583">
        <f t="shared" si="49"/>
        <v>4.26725188978298</v>
      </c>
      <c r="Q81" s="584">
        <v>14</v>
      </c>
      <c r="AS81" s="232"/>
      <c r="AY81">
        <f t="shared" si="46"/>
        <v>1</v>
      </c>
      <c r="AZ81">
        <f t="shared" si="39"/>
        <v>0.01866025403784439</v>
      </c>
      <c r="BA81">
        <f t="shared" si="40"/>
        <v>-0.03732050807568878</v>
      </c>
      <c r="BB81">
        <f t="shared" si="41"/>
        <v>0</v>
      </c>
      <c r="BC81">
        <f t="shared" si="42"/>
        <v>0</v>
      </c>
      <c r="BD81">
        <f t="shared" si="43"/>
        <v>0</v>
      </c>
      <c r="BE81">
        <f t="shared" si="44"/>
        <v>0</v>
      </c>
      <c r="BF81">
        <f t="shared" si="47"/>
        <v>0</v>
      </c>
      <c r="BG81">
        <f t="shared" si="45"/>
        <v>1</v>
      </c>
    </row>
    <row r="82" spans="1:60" s="5" customFormat="1" ht="12.75">
      <c r="A82" s="101"/>
      <c r="B82" s="22"/>
      <c r="C82" s="22"/>
      <c r="E82" s="23"/>
      <c r="F82" s="66"/>
      <c r="G82" s="290"/>
      <c r="J82" s="249"/>
      <c r="K82" s="1"/>
      <c r="L82"/>
      <c r="N82" s="583">
        <f t="shared" si="48"/>
        <v>10.972933430870519</v>
      </c>
      <c r="O82" s="584">
        <v>36</v>
      </c>
      <c r="P82" s="583">
        <f t="shared" si="49"/>
        <v>4.87685930260912</v>
      </c>
      <c r="Q82" s="584">
        <v>16</v>
      </c>
      <c r="R82"/>
      <c r="S82"/>
      <c r="T82"/>
      <c r="U82"/>
      <c r="V82"/>
      <c r="AO82"/>
      <c r="AP82"/>
      <c r="AQ82"/>
      <c r="AR82"/>
      <c r="AS82" s="232"/>
      <c r="AT82"/>
      <c r="AU82"/>
      <c r="AV82"/>
      <c r="AW82"/>
      <c r="AX82"/>
      <c r="AY82">
        <f t="shared" si="46"/>
        <v>1</v>
      </c>
      <c r="AZ82">
        <f t="shared" si="39"/>
        <v>0.01866025403784439</v>
      </c>
      <c r="BA82">
        <f t="shared" si="40"/>
        <v>-0.03732050807568878</v>
      </c>
      <c r="BB82">
        <f t="shared" si="41"/>
        <v>0</v>
      </c>
      <c r="BC82">
        <f t="shared" si="42"/>
        <v>0</v>
      </c>
      <c r="BD82">
        <f t="shared" si="43"/>
        <v>0</v>
      </c>
      <c r="BE82">
        <f t="shared" si="44"/>
        <v>0</v>
      </c>
      <c r="BF82">
        <f t="shared" si="47"/>
        <v>0</v>
      </c>
      <c r="BG82">
        <f t="shared" si="45"/>
        <v>1</v>
      </c>
      <c r="BH82"/>
    </row>
    <row r="83" spans="1:59" ht="12.75">
      <c r="A83" s="101"/>
      <c r="B83" s="22"/>
      <c r="C83" s="22"/>
      <c r="D83" s="5"/>
      <c r="E83" s="23"/>
      <c r="F83" s="66"/>
      <c r="G83" s="290"/>
      <c r="H83" s="5"/>
      <c r="I83" s="5"/>
      <c r="J83" s="249"/>
      <c r="K83" s="1"/>
      <c r="L83" s="5"/>
      <c r="N83" s="583">
        <f t="shared" si="48"/>
        <v>11.582540843696659</v>
      </c>
      <c r="O83" s="584">
        <v>38</v>
      </c>
      <c r="P83" s="583">
        <f t="shared" si="49"/>
        <v>5.4864667154352595</v>
      </c>
      <c r="Q83" s="584">
        <v>18</v>
      </c>
      <c r="AS83" s="232"/>
      <c r="AY83">
        <f t="shared" si="46"/>
        <v>1</v>
      </c>
      <c r="AZ83">
        <f t="shared" si="39"/>
        <v>0.01866025403784439</v>
      </c>
      <c r="BA83">
        <f t="shared" si="40"/>
        <v>-0.03732050807568878</v>
      </c>
      <c r="BB83">
        <f t="shared" si="41"/>
        <v>0</v>
      </c>
      <c r="BC83">
        <f t="shared" si="42"/>
        <v>0</v>
      </c>
      <c r="BD83">
        <f t="shared" si="43"/>
        <v>0</v>
      </c>
      <c r="BE83">
        <f t="shared" si="44"/>
        <v>0</v>
      </c>
      <c r="BF83">
        <f t="shared" si="47"/>
        <v>0</v>
      </c>
      <c r="BG83">
        <f t="shared" si="45"/>
        <v>1</v>
      </c>
    </row>
    <row r="84" spans="1:59" ht="12.75">
      <c r="A84" s="101"/>
      <c r="B84" s="22"/>
      <c r="C84" s="22"/>
      <c r="D84" s="5"/>
      <c r="E84" s="23"/>
      <c r="F84" s="66"/>
      <c r="G84" s="290"/>
      <c r="H84" s="5"/>
      <c r="I84" s="5"/>
      <c r="J84" s="249"/>
      <c r="K84" s="7"/>
      <c r="N84" s="583">
        <f t="shared" si="48"/>
        <v>12.192148256522799</v>
      </c>
      <c r="O84" s="584">
        <v>40</v>
      </c>
      <c r="P84" s="583">
        <f t="shared" si="49"/>
        <v>6.0960741282613995</v>
      </c>
      <c r="Q84" s="584">
        <v>20</v>
      </c>
      <c r="AS84" s="232"/>
      <c r="AY84">
        <f t="shared" si="46"/>
        <v>1</v>
      </c>
      <c r="AZ84">
        <f t="shared" si="39"/>
        <v>0.01866025403784439</v>
      </c>
      <c r="BA84">
        <f t="shared" si="40"/>
        <v>-0.03732050807568878</v>
      </c>
      <c r="BB84">
        <f t="shared" si="41"/>
        <v>0</v>
      </c>
      <c r="BC84">
        <f t="shared" si="42"/>
        <v>0</v>
      </c>
      <c r="BD84">
        <f t="shared" si="43"/>
        <v>0</v>
      </c>
      <c r="BE84">
        <f t="shared" si="44"/>
        <v>0</v>
      </c>
      <c r="BF84">
        <f t="shared" si="47"/>
        <v>0</v>
      </c>
      <c r="BG84">
        <f t="shared" si="45"/>
        <v>1</v>
      </c>
    </row>
    <row r="85" spans="1:59" ht="13.5" thickBot="1">
      <c r="A85" s="101"/>
      <c r="B85" s="22"/>
      <c r="C85" s="22"/>
      <c r="D85" s="5"/>
      <c r="E85" s="23"/>
      <c r="F85" s="66"/>
      <c r="G85" s="290"/>
      <c r="H85" s="5"/>
      <c r="I85" s="5"/>
      <c r="J85" s="249"/>
      <c r="K85" s="1"/>
      <c r="N85" s="583">
        <f t="shared" si="48"/>
        <v>12.801755669348939</v>
      </c>
      <c r="O85" s="584">
        <v>42</v>
      </c>
      <c r="P85" s="583">
        <f t="shared" si="49"/>
        <v>6.705681541087539</v>
      </c>
      <c r="Q85" s="584">
        <v>22</v>
      </c>
      <c r="AS85" s="232"/>
      <c r="AY85">
        <f t="shared" si="46"/>
        <v>1</v>
      </c>
      <c r="AZ85">
        <f t="shared" si="39"/>
        <v>0.01866025403784439</v>
      </c>
      <c r="BA85">
        <f t="shared" si="40"/>
        <v>-0.03732050807568878</v>
      </c>
      <c r="BB85">
        <f t="shared" si="41"/>
        <v>0</v>
      </c>
      <c r="BC85">
        <f t="shared" si="42"/>
        <v>0</v>
      </c>
      <c r="BD85">
        <f t="shared" si="43"/>
        <v>0</v>
      </c>
      <c r="BE85">
        <f t="shared" si="44"/>
        <v>0</v>
      </c>
      <c r="BF85">
        <f t="shared" si="47"/>
        <v>0</v>
      </c>
      <c r="BG85">
        <f t="shared" si="45"/>
        <v>1</v>
      </c>
    </row>
    <row r="86" spans="1:59" ht="19.5" thickBot="1" thickTop="1">
      <c r="A86" s="62" t="s">
        <v>187</v>
      </c>
      <c r="B86" s="63"/>
      <c r="C86" s="63"/>
      <c r="D86" s="64"/>
      <c r="E86" s="64"/>
      <c r="F86" s="65"/>
      <c r="G86" s="290"/>
      <c r="H86" s="5"/>
      <c r="I86" s="5"/>
      <c r="J86" s="249"/>
      <c r="K86" s="1"/>
      <c r="N86" s="585">
        <f t="shared" si="48"/>
        <v>13.411363082175079</v>
      </c>
      <c r="O86" s="586">
        <v>44</v>
      </c>
      <c r="P86" s="585">
        <f t="shared" si="49"/>
        <v>7.315288953913679</v>
      </c>
      <c r="Q86" s="586">
        <v>24</v>
      </c>
      <c r="AS86" s="232"/>
      <c r="AY86">
        <f t="shared" si="46"/>
        <v>1</v>
      </c>
      <c r="AZ86">
        <f t="shared" si="39"/>
        <v>0.01866025403784439</v>
      </c>
      <c r="BA86">
        <f t="shared" si="40"/>
        <v>-0.03732050807568878</v>
      </c>
      <c r="BB86">
        <f t="shared" si="41"/>
        <v>0</v>
      </c>
      <c r="BC86">
        <f t="shared" si="42"/>
        <v>0</v>
      </c>
      <c r="BD86">
        <f t="shared" si="43"/>
        <v>0</v>
      </c>
      <c r="BE86">
        <f t="shared" si="44"/>
        <v>0</v>
      </c>
      <c r="BF86">
        <f t="shared" si="47"/>
        <v>0</v>
      </c>
      <c r="BG86">
        <f t="shared" si="45"/>
        <v>1</v>
      </c>
    </row>
    <row r="87" spans="1:59" ht="12.75">
      <c r="A87" s="43"/>
      <c r="B87" s="17"/>
      <c r="C87" s="17"/>
      <c r="D87" s="5"/>
      <c r="E87" s="47" t="s">
        <v>188</v>
      </c>
      <c r="F87" s="66">
        <f>F75</f>
        <v>0</v>
      </c>
      <c r="G87" s="290"/>
      <c r="H87" s="5"/>
      <c r="I87" s="5"/>
      <c r="J87" s="249"/>
      <c r="K87" s="1"/>
      <c r="AS87" s="232"/>
      <c r="AY87">
        <f t="shared" si="46"/>
        <v>1</v>
      </c>
      <c r="AZ87">
        <f t="shared" si="39"/>
        <v>0.01866025403784439</v>
      </c>
      <c r="BA87">
        <f t="shared" si="40"/>
        <v>-0.03732050807568878</v>
      </c>
      <c r="BB87">
        <f t="shared" si="41"/>
        <v>0</v>
      </c>
      <c r="BC87">
        <f t="shared" si="42"/>
        <v>0</v>
      </c>
      <c r="BD87">
        <f t="shared" si="43"/>
        <v>0</v>
      </c>
      <c r="BE87">
        <f t="shared" si="44"/>
        <v>0</v>
      </c>
      <c r="BF87">
        <f t="shared" si="47"/>
        <v>0</v>
      </c>
      <c r="BG87">
        <f t="shared" si="45"/>
        <v>1</v>
      </c>
    </row>
    <row r="88" spans="1:59" ht="12.75">
      <c r="A88" s="44"/>
      <c r="B88" s="17"/>
      <c r="C88" s="5" t="s">
        <v>189</v>
      </c>
      <c r="D88" s="15"/>
      <c r="E88" s="21" t="s">
        <v>190</v>
      </c>
      <c r="F88" s="59">
        <f>IF(B60&gt;0,(1-B72)*F87*F72/((F72+F70)*B72),)</f>
        <v>0</v>
      </c>
      <c r="G88" s="290"/>
      <c r="H88" s="5"/>
      <c r="I88" s="5"/>
      <c r="J88" s="249"/>
      <c r="K88" s="1"/>
      <c r="AS88" s="232"/>
      <c r="AY88">
        <f t="shared" si="46"/>
        <v>1</v>
      </c>
      <c r="AZ88">
        <f t="shared" si="39"/>
        <v>0.01866025403784439</v>
      </c>
      <c r="BA88">
        <f t="shared" si="40"/>
        <v>-0.03732050807568878</v>
      </c>
      <c r="BB88">
        <f t="shared" si="41"/>
        <v>0</v>
      </c>
      <c r="BC88">
        <f t="shared" si="42"/>
        <v>0</v>
      </c>
      <c r="BD88">
        <f t="shared" si="43"/>
        <v>0</v>
      </c>
      <c r="BE88">
        <f t="shared" si="44"/>
        <v>0</v>
      </c>
      <c r="BF88">
        <f t="shared" si="47"/>
        <v>0</v>
      </c>
      <c r="BG88">
        <f t="shared" si="45"/>
        <v>1</v>
      </c>
    </row>
    <row r="89" spans="1:59" ht="12.75">
      <c r="A89" s="44"/>
      <c r="B89" s="17"/>
      <c r="C89" s="17"/>
      <c r="D89" s="5"/>
      <c r="E89" s="21" t="s">
        <v>191</v>
      </c>
      <c r="F89" s="59">
        <f>IF(B60&gt;0,(B60-B64)^3*F75/F64^3-F87,)</f>
        <v>0</v>
      </c>
      <c r="G89" s="301"/>
      <c r="H89" s="5"/>
      <c r="I89" s="5"/>
      <c r="J89" s="249"/>
      <c r="K89" s="1"/>
      <c r="AS89" s="232"/>
      <c r="AY89">
        <f t="shared" si="46"/>
        <v>1</v>
      </c>
      <c r="AZ89">
        <f t="shared" si="39"/>
        <v>0.01866025403784439</v>
      </c>
      <c r="BA89">
        <f t="shared" si="40"/>
        <v>-0.03732050807568878</v>
      </c>
      <c r="BB89">
        <f t="shared" si="41"/>
        <v>0</v>
      </c>
      <c r="BC89">
        <f t="shared" si="42"/>
        <v>0</v>
      </c>
      <c r="BD89">
        <f t="shared" si="43"/>
        <v>0</v>
      </c>
      <c r="BE89">
        <f t="shared" si="44"/>
        <v>0</v>
      </c>
      <c r="BF89">
        <f t="shared" si="47"/>
        <v>0</v>
      </c>
      <c r="BG89">
        <f t="shared" si="45"/>
        <v>1</v>
      </c>
    </row>
    <row r="90" spans="1:59" ht="15.75">
      <c r="A90" s="34"/>
      <c r="B90" s="17"/>
      <c r="C90" s="17"/>
      <c r="D90" s="16"/>
      <c r="E90" s="24" t="s">
        <v>192</v>
      </c>
      <c r="F90" s="67">
        <f>F87+F88+F89</f>
        <v>0</v>
      </c>
      <c r="G90" s="301"/>
      <c r="H90" s="5"/>
      <c r="I90" s="5"/>
      <c r="J90" s="249"/>
      <c r="K90" s="1"/>
      <c r="AS90" s="232"/>
      <c r="AY90">
        <f t="shared" si="46"/>
        <v>1</v>
      </c>
      <c r="AZ90">
        <f t="shared" si="39"/>
        <v>0.01866025403784439</v>
      </c>
      <c r="BA90">
        <f t="shared" si="40"/>
        <v>-0.03732050807568878</v>
      </c>
      <c r="BB90">
        <f t="shared" si="41"/>
        <v>0</v>
      </c>
      <c r="BC90">
        <f t="shared" si="42"/>
        <v>0</v>
      </c>
      <c r="BD90">
        <f t="shared" si="43"/>
        <v>0</v>
      </c>
      <c r="BE90">
        <f t="shared" si="44"/>
        <v>0</v>
      </c>
      <c r="BF90">
        <f t="shared" si="47"/>
        <v>0</v>
      </c>
      <c r="BG90">
        <f t="shared" si="45"/>
        <v>1</v>
      </c>
    </row>
    <row r="91" spans="1:59" ht="13.5" thickBot="1">
      <c r="A91" s="34"/>
      <c r="B91" s="17"/>
      <c r="C91" s="17"/>
      <c r="D91" s="5"/>
      <c r="E91" s="24"/>
      <c r="F91" s="68"/>
      <c r="G91" s="290"/>
      <c r="H91" s="5"/>
      <c r="I91" s="5"/>
      <c r="J91" s="249"/>
      <c r="K91" s="1"/>
      <c r="AS91" s="232"/>
      <c r="AY91">
        <f t="shared" si="46"/>
        <v>1</v>
      </c>
      <c r="AZ91">
        <f t="shared" si="39"/>
        <v>0.01866025403784439</v>
      </c>
      <c r="BA91">
        <f t="shared" si="40"/>
        <v>-0.03732050807568878</v>
      </c>
      <c r="BB91">
        <f t="shared" si="41"/>
        <v>0</v>
      </c>
      <c r="BC91">
        <f t="shared" si="42"/>
        <v>0</v>
      </c>
      <c r="BD91">
        <f t="shared" si="43"/>
        <v>0</v>
      </c>
      <c r="BE91">
        <f t="shared" si="44"/>
        <v>0</v>
      </c>
      <c r="BF91">
        <f t="shared" si="47"/>
        <v>0</v>
      </c>
      <c r="BG91">
        <f t="shared" si="45"/>
        <v>1</v>
      </c>
    </row>
    <row r="92" spans="1:59" ht="21" thickBot="1">
      <c r="A92" s="42"/>
      <c r="B92" s="29"/>
      <c r="C92" s="29"/>
      <c r="D92" s="30"/>
      <c r="E92" s="28" t="s">
        <v>477</v>
      </c>
      <c r="F92" s="69">
        <f>F90/0.97</f>
        <v>0</v>
      </c>
      <c r="G92" s="336">
        <f>B61*R55*F64^S55+B61*B69*14.38*F64^S55</f>
        <v>0</v>
      </c>
      <c r="H92" s="337" t="s">
        <v>193</v>
      </c>
      <c r="I92" s="254"/>
      <c r="J92" s="255"/>
      <c r="K92" s="1"/>
      <c r="N92" s="393">
        <v>10</v>
      </c>
      <c r="O92" s="394">
        <v>0.41</v>
      </c>
      <c r="R92" s="296" t="s">
        <v>209</v>
      </c>
      <c r="S92" s="297"/>
      <c r="T92" s="297"/>
      <c r="U92" s="298"/>
      <c r="V92" s="298"/>
      <c r="W92" s="298"/>
      <c r="X92" s="298"/>
      <c r="Y92" s="298"/>
      <c r="Z92" s="298"/>
      <c r="AA92" s="255"/>
      <c r="AC92" s="361" t="s">
        <v>2</v>
      </c>
      <c r="AD92" s="362" t="s">
        <v>210</v>
      </c>
      <c r="AE92" s="363" t="s">
        <v>4</v>
      </c>
      <c r="AF92" s="363"/>
      <c r="AG92" s="344"/>
      <c r="AH92" s="344"/>
      <c r="AI92" s="344"/>
      <c r="AJ92" s="344"/>
      <c r="AK92" s="345"/>
      <c r="AS92" s="232"/>
      <c r="AY92">
        <f t="shared" si="46"/>
        <v>1</v>
      </c>
      <c r="AZ92">
        <f t="shared" si="39"/>
        <v>0.01866025403784439</v>
      </c>
      <c r="BA92">
        <f t="shared" si="40"/>
        <v>-0.03732050807568878</v>
      </c>
      <c r="BB92">
        <f t="shared" si="41"/>
        <v>0</v>
      </c>
      <c r="BC92">
        <f t="shared" si="42"/>
        <v>0</v>
      </c>
      <c r="BD92">
        <f t="shared" si="43"/>
        <v>0</v>
      </c>
      <c r="BE92">
        <f t="shared" si="44"/>
        <v>0</v>
      </c>
      <c r="BF92">
        <f t="shared" si="47"/>
        <v>0</v>
      </c>
      <c r="BG92">
        <f t="shared" si="45"/>
        <v>1</v>
      </c>
    </row>
    <row r="93" spans="1:59" ht="12.75">
      <c r="A93" s="34"/>
      <c r="B93" s="5"/>
      <c r="C93" s="5"/>
      <c r="D93" s="8"/>
      <c r="E93" s="5"/>
      <c r="F93" s="58"/>
      <c r="G93" s="338">
        <f>IF(F64&gt;0,AE17*0.95,)</f>
        <v>0</v>
      </c>
      <c r="H93" s="339" t="s">
        <v>182</v>
      </c>
      <c r="I93" s="292"/>
      <c r="J93" s="256"/>
      <c r="K93" s="1"/>
      <c r="N93" s="395">
        <v>15</v>
      </c>
      <c r="O93" s="396">
        <v>0.38</v>
      </c>
      <c r="R93" s="299" t="s">
        <v>211</v>
      </c>
      <c r="S93" s="258"/>
      <c r="T93" s="258"/>
      <c r="U93" s="258" t="s">
        <v>212</v>
      </c>
      <c r="V93" s="105"/>
      <c r="W93" s="105" t="s">
        <v>213</v>
      </c>
      <c r="X93" s="105"/>
      <c r="Y93" s="105" t="s">
        <v>214</v>
      </c>
      <c r="Z93" s="105"/>
      <c r="AA93" s="300"/>
      <c r="AC93" s="268" t="s">
        <v>6</v>
      </c>
      <c r="AD93" s="346">
        <f>F128</f>
        <v>0</v>
      </c>
      <c r="AE93" s="5"/>
      <c r="AF93" s="5"/>
      <c r="AG93" s="5"/>
      <c r="AH93" s="5"/>
      <c r="AI93" s="5"/>
      <c r="AJ93" s="5"/>
      <c r="AK93" s="266"/>
      <c r="AS93" s="232"/>
      <c r="AY93">
        <f t="shared" si="46"/>
        <v>1</v>
      </c>
      <c r="AZ93">
        <f t="shared" si="39"/>
        <v>0.01866025403784439</v>
      </c>
      <c r="BA93">
        <f t="shared" si="40"/>
        <v>-0.03732050807568878</v>
      </c>
      <c r="BB93">
        <f t="shared" si="41"/>
        <v>0</v>
      </c>
      <c r="BC93">
        <f t="shared" si="42"/>
        <v>0</v>
      </c>
      <c r="BD93">
        <f t="shared" si="43"/>
        <v>0</v>
      </c>
      <c r="BE93">
        <f t="shared" si="44"/>
        <v>0</v>
      </c>
      <c r="BF93">
        <f t="shared" si="47"/>
        <v>0</v>
      </c>
      <c r="BG93">
        <f t="shared" si="45"/>
        <v>1</v>
      </c>
    </row>
    <row r="94" spans="1:59" ht="12.75" customHeight="1" thickBot="1">
      <c r="A94" s="45"/>
      <c r="B94" s="46"/>
      <c r="C94" s="46"/>
      <c r="D94" s="46"/>
      <c r="E94" s="46"/>
      <c r="F94" s="70"/>
      <c r="G94" s="302"/>
      <c r="H94" s="303"/>
      <c r="I94" s="292"/>
      <c r="J94" s="256"/>
      <c r="N94" s="395">
        <v>20</v>
      </c>
      <c r="O94" s="396">
        <v>0.35</v>
      </c>
      <c r="R94" s="289" t="s">
        <v>5</v>
      </c>
      <c r="S94" s="6" t="s">
        <v>215</v>
      </c>
      <c r="T94" s="6" t="s">
        <v>216</v>
      </c>
      <c r="U94" s="6" t="s">
        <v>6</v>
      </c>
      <c r="V94" s="19" t="s">
        <v>40</v>
      </c>
      <c r="W94" s="19" t="s">
        <v>6</v>
      </c>
      <c r="X94" s="19" t="s">
        <v>40</v>
      </c>
      <c r="Y94" s="5">
        <v>1</v>
      </c>
      <c r="Z94" s="5">
        <v>1.25</v>
      </c>
      <c r="AA94" s="249">
        <v>1.5</v>
      </c>
      <c r="AC94" s="268" t="s">
        <v>22</v>
      </c>
      <c r="AD94" s="347">
        <v>0.4</v>
      </c>
      <c r="AE94" s="5" t="s">
        <v>23</v>
      </c>
      <c r="AF94" s="5"/>
      <c r="AG94" s="5"/>
      <c r="AH94" s="5"/>
      <c r="AI94" s="5"/>
      <c r="AJ94" s="5"/>
      <c r="AK94" s="266"/>
      <c r="AS94" s="232"/>
      <c r="AY94">
        <f t="shared" si="46"/>
        <v>1</v>
      </c>
      <c r="AZ94">
        <f t="shared" si="39"/>
        <v>0.01866025403784439</v>
      </c>
      <c r="BA94">
        <f t="shared" si="40"/>
        <v>-0.03732050807568878</v>
      </c>
      <c r="BB94">
        <f t="shared" si="41"/>
        <v>0</v>
      </c>
      <c r="BC94">
        <f t="shared" si="42"/>
        <v>0</v>
      </c>
      <c r="BD94">
        <f t="shared" si="43"/>
        <v>0</v>
      </c>
      <c r="BE94">
        <f t="shared" si="44"/>
        <v>0</v>
      </c>
      <c r="BF94">
        <f t="shared" si="47"/>
        <v>0</v>
      </c>
      <c r="BG94">
        <f t="shared" si="45"/>
        <v>1</v>
      </c>
    </row>
    <row r="95" spans="1:59" ht="13.5" thickTop="1">
      <c r="A95" s="241" t="s">
        <v>0</v>
      </c>
      <c r="B95" s="504">
        <f>B1</f>
        <v>0</v>
      </c>
      <c r="C95" s="476"/>
      <c r="D95" s="477"/>
      <c r="E95" s="240" t="s">
        <v>1</v>
      </c>
      <c r="F95" s="505">
        <f>F1</f>
        <v>0</v>
      </c>
      <c r="M95" s="1"/>
      <c r="N95" s="395">
        <v>25</v>
      </c>
      <c r="O95" s="396">
        <v>0.33</v>
      </c>
      <c r="R95" s="289">
        <v>1</v>
      </c>
      <c r="S95" s="6" t="e">
        <f>T95*1.16/$C$99</f>
        <v>#DIV/0!</v>
      </c>
      <c r="T95" s="6" t="e">
        <f>($F$32/H126)*($R95^(-$O$29))/$N$29/$C$99</f>
        <v>#DIV/0!</v>
      </c>
      <c r="U95" s="6">
        <f>B128</f>
        <v>0</v>
      </c>
      <c r="V95" s="119">
        <f>B129</f>
        <v>0</v>
      </c>
      <c r="W95" s="293">
        <v>5.3</v>
      </c>
      <c r="X95" s="293">
        <v>7.5</v>
      </c>
      <c r="Y95" s="5">
        <f aca="true" t="shared" si="50" ref="Y95:AA111">$R95*Y$3</f>
        <v>0</v>
      </c>
      <c r="Z95" s="5">
        <f t="shared" si="50"/>
        <v>0</v>
      </c>
      <c r="AA95" s="249">
        <f t="shared" si="50"/>
        <v>0</v>
      </c>
      <c r="AC95" s="268" t="s">
        <v>27</v>
      </c>
      <c r="AD95" s="348">
        <v>9.814</v>
      </c>
      <c r="AE95" s="5"/>
      <c r="AF95" s="5"/>
      <c r="AG95" s="5"/>
      <c r="AH95" s="5"/>
      <c r="AI95" s="5"/>
      <c r="AJ95" s="5"/>
      <c r="AK95" s="266"/>
      <c r="AS95" s="232"/>
      <c r="AY95">
        <f t="shared" si="46"/>
        <v>1</v>
      </c>
      <c r="AZ95">
        <f t="shared" si="39"/>
        <v>0.01866025403784439</v>
      </c>
      <c r="BA95">
        <f t="shared" si="40"/>
        <v>-0.03732050807568878</v>
      </c>
      <c r="BB95">
        <f t="shared" si="41"/>
        <v>0</v>
      </c>
      <c r="BC95">
        <f t="shared" si="42"/>
        <v>0</v>
      </c>
      <c r="BD95">
        <f t="shared" si="43"/>
        <v>0</v>
      </c>
      <c r="BE95">
        <f t="shared" si="44"/>
        <v>0</v>
      </c>
      <c r="BF95">
        <f t="shared" si="47"/>
        <v>0</v>
      </c>
      <c r="BG95">
        <f t="shared" si="45"/>
        <v>1</v>
      </c>
    </row>
    <row r="96" spans="1:59" ht="12.75">
      <c r="A96" s="485" t="s">
        <v>7</v>
      </c>
      <c r="B96" s="506">
        <f>B2</f>
        <v>0</v>
      </c>
      <c r="C96" s="491" t="s">
        <v>8</v>
      </c>
      <c r="D96" s="516">
        <f>D2</f>
        <v>0</v>
      </c>
      <c r="E96" s="490"/>
      <c r="F96" s="492"/>
      <c r="L96" s="1"/>
      <c r="M96" s="1"/>
      <c r="N96" s="395">
        <v>35</v>
      </c>
      <c r="O96" s="396">
        <v>0.28</v>
      </c>
      <c r="R96" s="289">
        <v>1.5</v>
      </c>
      <c r="S96" s="6" t="e">
        <f>T96*1.16/$C$99</f>
        <v>#DIV/0!</v>
      </c>
      <c r="T96" s="6" t="e">
        <f>($F$32/H126)*($R96^(-$O$29))/$N$29/$C$99</f>
        <v>#DIV/0!</v>
      </c>
      <c r="U96" s="6"/>
      <c r="V96" s="5"/>
      <c r="W96" s="293">
        <v>4.9</v>
      </c>
      <c r="X96" s="293">
        <v>6</v>
      </c>
      <c r="Y96" s="5">
        <f t="shared" si="50"/>
        <v>0</v>
      </c>
      <c r="Z96" s="5">
        <f t="shared" si="50"/>
        <v>0</v>
      </c>
      <c r="AA96" s="249">
        <f t="shared" si="50"/>
        <v>0</v>
      </c>
      <c r="AC96" s="268" t="s">
        <v>28</v>
      </c>
      <c r="AD96" s="346">
        <f>B137</f>
        <v>0</v>
      </c>
      <c r="AE96" s="5" t="s">
        <v>29</v>
      </c>
      <c r="AF96" s="5"/>
      <c r="AG96" s="5"/>
      <c r="AH96" s="5"/>
      <c r="AI96" s="5"/>
      <c r="AJ96" s="5"/>
      <c r="AK96" s="266"/>
      <c r="AS96" s="232"/>
      <c r="AY96">
        <f t="shared" si="46"/>
        <v>1</v>
      </c>
      <c r="AZ96">
        <f t="shared" si="39"/>
        <v>0.01866025403784439</v>
      </c>
      <c r="BA96">
        <f t="shared" si="40"/>
        <v>-0.03732050807568878</v>
      </c>
      <c r="BB96">
        <f t="shared" si="41"/>
        <v>0</v>
      </c>
      <c r="BC96">
        <f t="shared" si="42"/>
        <v>0</v>
      </c>
      <c r="BD96">
        <f t="shared" si="43"/>
        <v>0</v>
      </c>
      <c r="BE96">
        <f t="shared" si="44"/>
        <v>0</v>
      </c>
      <c r="BF96">
        <f t="shared" si="47"/>
        <v>0</v>
      </c>
      <c r="BG96">
        <f t="shared" si="45"/>
        <v>1</v>
      </c>
    </row>
    <row r="97" spans="1:59" ht="12.75">
      <c r="A97" s="493"/>
      <c r="B97" s="495" t="s">
        <v>9</v>
      </c>
      <c r="C97" s="540">
        <f>C3</f>
        <v>0</v>
      </c>
      <c r="D97" s="480"/>
      <c r="E97" s="124" t="s">
        <v>10</v>
      </c>
      <c r="F97" s="507">
        <f>F3</f>
        <v>0</v>
      </c>
      <c r="K97" s="1"/>
      <c r="L97" s="1"/>
      <c r="M97" s="1"/>
      <c r="N97" s="395">
        <v>40</v>
      </c>
      <c r="O97" s="396">
        <v>0.26</v>
      </c>
      <c r="R97" s="289">
        <v>2</v>
      </c>
      <c r="S97" s="6" t="e">
        <f>T97*1.16/$C$99</f>
        <v>#DIV/0!</v>
      </c>
      <c r="T97" s="6" t="e">
        <f>($F$32/H126)*($R97^(-$O$29))/$N$29/$C$99</f>
        <v>#DIV/0!</v>
      </c>
      <c r="U97" s="6"/>
      <c r="V97" s="5"/>
      <c r="W97" s="293">
        <v>5.3</v>
      </c>
      <c r="X97" s="293">
        <v>6</v>
      </c>
      <c r="Y97" s="5">
        <f t="shared" si="50"/>
        <v>0</v>
      </c>
      <c r="Z97" s="5">
        <f t="shared" si="50"/>
        <v>0</v>
      </c>
      <c r="AA97" s="249">
        <f t="shared" si="50"/>
        <v>0</v>
      </c>
      <c r="AC97" s="268" t="s">
        <v>35</v>
      </c>
      <c r="AD97" s="346">
        <f>B136</f>
        <v>0</v>
      </c>
      <c r="AE97" s="5" t="s">
        <v>36</v>
      </c>
      <c r="AF97" s="5"/>
      <c r="AG97" s="5"/>
      <c r="AH97" s="5"/>
      <c r="AI97" s="5"/>
      <c r="AJ97" s="5"/>
      <c r="AK97" s="266"/>
      <c r="AS97" s="232"/>
      <c r="AY97">
        <f t="shared" si="46"/>
        <v>1</v>
      </c>
      <c r="AZ97">
        <f t="shared" si="39"/>
        <v>0.01866025403784439</v>
      </c>
      <c r="BA97">
        <f t="shared" si="40"/>
        <v>-0.03732050807568878</v>
      </c>
      <c r="BB97">
        <f t="shared" si="41"/>
        <v>0</v>
      </c>
      <c r="BC97">
        <f t="shared" si="42"/>
        <v>0</v>
      </c>
      <c r="BD97">
        <f t="shared" si="43"/>
        <v>0</v>
      </c>
      <c r="BE97">
        <f t="shared" si="44"/>
        <v>0</v>
      </c>
      <c r="BF97">
        <f t="shared" si="47"/>
        <v>0</v>
      </c>
      <c r="BG97">
        <f t="shared" si="45"/>
        <v>1</v>
      </c>
    </row>
    <row r="98" spans="1:59" ht="12.75">
      <c r="A98" s="34"/>
      <c r="B98" s="496" t="s">
        <v>20</v>
      </c>
      <c r="C98" s="488"/>
      <c r="D98" s="481"/>
      <c r="E98" s="124" t="s">
        <v>21</v>
      </c>
      <c r="F98" s="508">
        <f>F4</f>
        <v>0</v>
      </c>
      <c r="I98" s="1"/>
      <c r="J98" s="1"/>
      <c r="K98" s="1"/>
      <c r="L98" s="1"/>
      <c r="M98" s="1"/>
      <c r="N98" s="397">
        <v>50</v>
      </c>
      <c r="O98" s="398">
        <v>0.21</v>
      </c>
      <c r="R98" s="289">
        <v>2.5</v>
      </c>
      <c r="S98" s="6" t="e">
        <f>T98*1.16/$C$99</f>
        <v>#DIV/0!</v>
      </c>
      <c r="T98" s="6" t="e">
        <f>($F$32/H126)*($R98^(-$O$29))/$N$29/$C$99</f>
        <v>#DIV/0!</v>
      </c>
      <c r="U98" s="6"/>
      <c r="V98" s="5"/>
      <c r="W98" s="293">
        <v>5.8</v>
      </c>
      <c r="X98" s="293">
        <v>9</v>
      </c>
      <c r="Y98" s="5">
        <f t="shared" si="50"/>
        <v>0</v>
      </c>
      <c r="Z98" s="5">
        <f t="shared" si="50"/>
        <v>0</v>
      </c>
      <c r="AA98" s="249">
        <f t="shared" si="50"/>
        <v>0</v>
      </c>
      <c r="AC98" s="268" t="s">
        <v>39</v>
      </c>
      <c r="AD98" s="347">
        <v>1.26</v>
      </c>
      <c r="AE98" s="5"/>
      <c r="AF98" s="5"/>
      <c r="AG98" s="5"/>
      <c r="AH98" s="5"/>
      <c r="AI98" s="5"/>
      <c r="AJ98" s="5"/>
      <c r="AK98" s="266"/>
      <c r="AS98" s="232"/>
      <c r="AY98">
        <f t="shared" si="46"/>
        <v>1</v>
      </c>
      <c r="AZ98">
        <f t="shared" si="39"/>
        <v>0.01866025403784439</v>
      </c>
      <c r="BA98">
        <f t="shared" si="40"/>
        <v>-0.03732050807568878</v>
      </c>
      <c r="BB98">
        <f t="shared" si="41"/>
        <v>0</v>
      </c>
      <c r="BC98">
        <f t="shared" si="42"/>
        <v>0</v>
      </c>
      <c r="BD98">
        <f t="shared" si="43"/>
        <v>0</v>
      </c>
      <c r="BE98">
        <f t="shared" si="44"/>
        <v>0</v>
      </c>
      <c r="BF98">
        <f t="shared" si="47"/>
        <v>0</v>
      </c>
      <c r="BG98">
        <f t="shared" si="45"/>
        <v>1</v>
      </c>
    </row>
    <row r="99" spans="1:45" ht="13.5" thickBot="1">
      <c r="A99" s="60"/>
      <c r="B99" s="494" t="s">
        <v>25</v>
      </c>
      <c r="C99" s="479">
        <v>1</v>
      </c>
      <c r="D99" s="474"/>
      <c r="E99" s="236" t="s">
        <v>26</v>
      </c>
      <c r="F99" s="509">
        <f>F5</f>
        <v>0</v>
      </c>
      <c r="I99" s="1"/>
      <c r="J99" s="1"/>
      <c r="K99" s="1"/>
      <c r="L99" s="1"/>
      <c r="M99" s="1"/>
      <c r="N99" s="376"/>
      <c r="O99" s="376"/>
      <c r="R99" s="289"/>
      <c r="S99" s="6"/>
      <c r="T99" s="6"/>
      <c r="U99" s="6"/>
      <c r="V99" s="5"/>
      <c r="W99" s="293"/>
      <c r="X99" s="293"/>
      <c r="Y99" s="5"/>
      <c r="Z99" s="5"/>
      <c r="AA99" s="249"/>
      <c r="AC99" s="268"/>
      <c r="AD99" s="347"/>
      <c r="AE99" s="5"/>
      <c r="AF99" s="5"/>
      <c r="AG99" s="5"/>
      <c r="AH99" s="5"/>
      <c r="AI99" s="5"/>
      <c r="AJ99" s="5"/>
      <c r="AK99" s="266"/>
      <c r="AS99" s="232"/>
    </row>
    <row r="100" spans="1:59" ht="14.25" thickBot="1" thickTop="1">
      <c r="A100" s="34"/>
      <c r="B100" s="5"/>
      <c r="C100" s="425"/>
      <c r="D100" s="425"/>
      <c r="E100" s="425"/>
      <c r="F100" s="472"/>
      <c r="G100" s="7"/>
      <c r="H100" s="1"/>
      <c r="I100" s="1"/>
      <c r="J100" s="1"/>
      <c r="K100" s="1"/>
      <c r="L100" s="1"/>
      <c r="M100" s="1"/>
      <c r="N100" s="1"/>
      <c r="O100" s="1"/>
      <c r="R100" s="289">
        <v>3</v>
      </c>
      <c r="S100" s="6" t="e">
        <f aca="true" t="shared" si="51" ref="S100:S112">T100*1.16/$C$99</f>
        <v>#DIV/0!</v>
      </c>
      <c r="T100" s="6" t="e">
        <f>($F$32/H126)*($R100^(-$O$29))/$N$29/$C$99</f>
        <v>#DIV/0!</v>
      </c>
      <c r="U100" s="6"/>
      <c r="V100" s="5"/>
      <c r="W100" s="293">
        <v>2.4</v>
      </c>
      <c r="X100" s="294">
        <v>3.6</v>
      </c>
      <c r="Y100" s="5">
        <f t="shared" si="50"/>
        <v>0</v>
      </c>
      <c r="Z100" s="5">
        <f t="shared" si="50"/>
        <v>0</v>
      </c>
      <c r="AA100" s="249">
        <f t="shared" si="50"/>
        <v>0</v>
      </c>
      <c r="AC100" s="268" t="s">
        <v>40</v>
      </c>
      <c r="AD100" s="346">
        <f>B129</f>
        <v>0</v>
      </c>
      <c r="AE100" s="5"/>
      <c r="AF100" s="5"/>
      <c r="AG100" s="5"/>
      <c r="AH100" s="5"/>
      <c r="AI100" s="5"/>
      <c r="AJ100" s="5"/>
      <c r="AK100" s="266"/>
      <c r="AS100" s="232"/>
      <c r="AY100">
        <f>IF(BA98-($AZ$1/4)&gt;0,AY98+1,AY98)</f>
        <v>1</v>
      </c>
      <c r="AZ100">
        <f t="shared" si="39"/>
        <v>0.01866025403784439</v>
      </c>
      <c r="BA100">
        <f t="shared" si="40"/>
        <v>-0.03732050807568878</v>
      </c>
      <c r="BB100">
        <f t="shared" si="41"/>
        <v>0</v>
      </c>
      <c r="BC100">
        <f t="shared" si="42"/>
        <v>0</v>
      </c>
      <c r="BD100">
        <f t="shared" si="43"/>
        <v>0</v>
      </c>
      <c r="BE100">
        <f t="shared" si="44"/>
        <v>0</v>
      </c>
      <c r="BF100">
        <f>AY100-AY98</f>
        <v>0</v>
      </c>
      <c r="BG100">
        <f t="shared" si="45"/>
        <v>1</v>
      </c>
    </row>
    <row r="101" spans="1:59" ht="21.75" thickBot="1" thickTop="1">
      <c r="A101" s="426" t="s">
        <v>217</v>
      </c>
      <c r="B101" s="427"/>
      <c r="C101" s="427"/>
      <c r="D101" s="427"/>
      <c r="E101" s="427"/>
      <c r="F101" s="428" t="s">
        <v>218</v>
      </c>
      <c r="G101" s="13"/>
      <c r="H101" s="1"/>
      <c r="I101" s="1"/>
      <c r="J101" s="1"/>
      <c r="K101" s="1"/>
      <c r="L101" s="1"/>
      <c r="M101" s="1"/>
      <c r="N101" s="1"/>
      <c r="O101" s="1"/>
      <c r="R101" s="289">
        <v>3.5</v>
      </c>
      <c r="S101" s="6" t="e">
        <f t="shared" si="51"/>
        <v>#DIV/0!</v>
      </c>
      <c r="T101" s="6" t="e">
        <f>($F$32/H126)*($R101^(-$O$29))/$N$29/$C$99</f>
        <v>#DIV/0!</v>
      </c>
      <c r="U101" s="6"/>
      <c r="V101" s="5"/>
      <c r="W101" s="293">
        <v>2.1</v>
      </c>
      <c r="X101" s="294">
        <v>3.6</v>
      </c>
      <c r="Y101" s="5">
        <f t="shared" si="50"/>
        <v>0</v>
      </c>
      <c r="Z101" s="5">
        <f t="shared" si="50"/>
        <v>0</v>
      </c>
      <c r="AA101" s="249">
        <f t="shared" si="50"/>
        <v>0</v>
      </c>
      <c r="AC101" s="268" t="s">
        <v>43</v>
      </c>
      <c r="AD101" s="348"/>
      <c r="AE101" s="5"/>
      <c r="AF101" s="5"/>
      <c r="AG101" s="5"/>
      <c r="AH101" s="5"/>
      <c r="AI101" s="5"/>
      <c r="AJ101" s="5"/>
      <c r="AK101" s="266"/>
      <c r="AS101" s="232"/>
      <c r="AY101">
        <f aca="true" t="shared" si="52" ref="AY101:AY132">IF(BA100-($AZ$1/4)&gt;0,AY100+1,AY100)</f>
        <v>1</v>
      </c>
      <c r="AZ101">
        <f t="shared" si="39"/>
        <v>0.01866025403784439</v>
      </c>
      <c r="BA101">
        <f t="shared" si="40"/>
        <v>-0.03732050807568878</v>
      </c>
      <c r="BB101">
        <f t="shared" si="41"/>
        <v>0</v>
      </c>
      <c r="BC101">
        <f t="shared" si="42"/>
        <v>0</v>
      </c>
      <c r="BD101">
        <f t="shared" si="43"/>
        <v>0</v>
      </c>
      <c r="BE101">
        <f t="shared" si="44"/>
        <v>0</v>
      </c>
      <c r="BF101">
        <f>AY101-AY100</f>
        <v>0</v>
      </c>
      <c r="BG101">
        <f t="shared" si="45"/>
        <v>1</v>
      </c>
    </row>
    <row r="102" spans="1:59" ht="12.75">
      <c r="A102" s="34"/>
      <c r="B102" s="5"/>
      <c r="C102" s="5"/>
      <c r="D102" s="447" t="s">
        <v>219</v>
      </c>
      <c r="E102" s="448"/>
      <c r="F102" s="246"/>
      <c r="G102" s="9"/>
      <c r="H102" s="2"/>
      <c r="K102" s="1"/>
      <c r="L102" s="1"/>
      <c r="R102" s="289">
        <v>4</v>
      </c>
      <c r="S102" s="6" t="e">
        <f t="shared" si="51"/>
        <v>#DIV/0!</v>
      </c>
      <c r="T102" s="6" t="e">
        <f>($F$32/H126)*($R102^(-$O$29))/$N$29/$C$99</f>
        <v>#DIV/0!</v>
      </c>
      <c r="U102" s="6"/>
      <c r="V102" s="5"/>
      <c r="W102" s="293">
        <v>2.4</v>
      </c>
      <c r="X102" s="294">
        <v>3</v>
      </c>
      <c r="Y102" s="5">
        <f t="shared" si="50"/>
        <v>0</v>
      </c>
      <c r="Z102" s="5">
        <f t="shared" si="50"/>
        <v>0</v>
      </c>
      <c r="AA102" s="249">
        <f t="shared" si="50"/>
        <v>0</v>
      </c>
      <c r="AC102" s="268" t="s">
        <v>47</v>
      </c>
      <c r="AD102" s="357"/>
      <c r="AE102" s="5"/>
      <c r="AF102" s="5"/>
      <c r="AG102" s="5"/>
      <c r="AH102" s="5"/>
      <c r="AI102" s="5"/>
      <c r="AJ102" s="5"/>
      <c r="AK102" s="266"/>
      <c r="AS102" s="232"/>
      <c r="AY102">
        <f t="shared" si="52"/>
        <v>1</v>
      </c>
      <c r="AZ102">
        <f t="shared" si="39"/>
        <v>0.01866025403784439</v>
      </c>
      <c r="BA102">
        <f t="shared" si="40"/>
        <v>-0.03732050807568878</v>
      </c>
      <c r="BB102">
        <f t="shared" si="41"/>
        <v>0</v>
      </c>
      <c r="BC102">
        <f t="shared" si="42"/>
        <v>0</v>
      </c>
      <c r="BD102">
        <f t="shared" si="43"/>
        <v>0</v>
      </c>
      <c r="BE102">
        <f t="shared" si="44"/>
        <v>0</v>
      </c>
      <c r="BF102">
        <f>AY102-AY101</f>
        <v>0</v>
      </c>
      <c r="BG102">
        <f t="shared" si="45"/>
        <v>1</v>
      </c>
    </row>
    <row r="103" spans="1:59" ht="12.75">
      <c r="A103" s="35" t="s">
        <v>41</v>
      </c>
      <c r="B103" s="560">
        <f>B9</f>
        <v>0</v>
      </c>
      <c r="C103" s="49"/>
      <c r="D103" s="449" t="s">
        <v>220</v>
      </c>
      <c r="E103" s="450">
        <v>0</v>
      </c>
      <c r="F103" s="36"/>
      <c r="G103" s="462" t="s">
        <v>221</v>
      </c>
      <c r="H103" s="9"/>
      <c r="K103" s="1"/>
      <c r="M103" s="2"/>
      <c r="N103" s="2"/>
      <c r="O103" s="2"/>
      <c r="R103" s="289">
        <v>4.5</v>
      </c>
      <c r="S103" s="6" t="e">
        <f t="shared" si="51"/>
        <v>#DIV/0!</v>
      </c>
      <c r="T103" s="6" t="e">
        <f>($F$32/H126)*($R103^(-$O$29))/$N$29/$C$99</f>
        <v>#DIV/0!</v>
      </c>
      <c r="U103" s="6"/>
      <c r="V103" s="7"/>
      <c r="W103" s="294">
        <v>2.4</v>
      </c>
      <c r="X103" s="294">
        <v>4.2</v>
      </c>
      <c r="Y103" s="5">
        <f t="shared" si="50"/>
        <v>0</v>
      </c>
      <c r="Z103" s="5">
        <f t="shared" si="50"/>
        <v>0</v>
      </c>
      <c r="AA103" s="249">
        <f t="shared" si="50"/>
        <v>0</v>
      </c>
      <c r="AC103" s="268" t="s">
        <v>50</v>
      </c>
      <c r="AD103" s="348"/>
      <c r="AE103" s="5"/>
      <c r="AF103" s="5"/>
      <c r="AG103" s="5"/>
      <c r="AH103" s="5"/>
      <c r="AI103" s="5"/>
      <c r="AJ103" s="5"/>
      <c r="AK103" s="266"/>
      <c r="AS103" s="232"/>
      <c r="AY103">
        <f t="shared" si="52"/>
        <v>1</v>
      </c>
      <c r="AZ103">
        <f aca="true" t="shared" si="53" ref="AZ103:AZ134">(AY103/100-0.005)/TAN($AZ$3*PI()/180)</f>
        <v>0.01866025403784439</v>
      </c>
      <c r="BA103">
        <f aca="true" t="shared" si="54" ref="BA103:BA134">$AZ$1-2*AZ103</f>
        <v>-0.03732050807568878</v>
      </c>
      <c r="BB103">
        <f aca="true" t="shared" si="55" ref="BB103:BB134">IF($AZ$4/BA103&lt;0.5,$AZ$4/BA103,0.5)</f>
        <v>0</v>
      </c>
      <c r="BC103">
        <f aca="true" t="shared" si="56" ref="BC103:BC134">IF(BF103+BG103=2,3.1316*BB103^4-1.453*BB103^3+0.5868*BB103^2-1.3257*BB103+0.5,0)</f>
        <v>0</v>
      </c>
      <c r="BD103">
        <f aca="true" t="shared" si="57" ref="BD103:BD134">IF(BF103+BG103=2,(PI()*BA103^2/4),0)*0.01</f>
        <v>0</v>
      </c>
      <c r="BE103">
        <f aca="true" t="shared" si="58" ref="BE103:BE134">BD103*BC103</f>
        <v>0</v>
      </c>
      <c r="BF103">
        <f>AY103-AY102</f>
        <v>0</v>
      </c>
      <c r="BG103">
        <f aca="true" t="shared" si="59" ref="BG103:BG134">IF(BB103=0.5,0,1)</f>
        <v>1</v>
      </c>
    </row>
    <row r="104" spans="1:59" ht="12.75">
      <c r="A104" s="35" t="s">
        <v>44</v>
      </c>
      <c r="B104" s="560">
        <f>B10</f>
        <v>0</v>
      </c>
      <c r="C104" s="71"/>
      <c r="D104" s="18" t="s">
        <v>222</v>
      </c>
      <c r="E104" s="451">
        <v>0.8</v>
      </c>
      <c r="F104" s="36"/>
      <c r="G104" s="462" t="s">
        <v>223</v>
      </c>
      <c r="H104" s="9"/>
      <c r="I104" s="9"/>
      <c r="J104" s="9"/>
      <c r="K104" s="2"/>
      <c r="L104" s="2"/>
      <c r="M104" s="2"/>
      <c r="N104" s="2"/>
      <c r="O104" s="2"/>
      <c r="R104" s="289">
        <v>5</v>
      </c>
      <c r="S104" s="6" t="e">
        <f t="shared" si="51"/>
        <v>#DIV/0!</v>
      </c>
      <c r="T104" s="6" t="e">
        <f>($F$32/H126)*($R104^(-$O$29))/$N$29/$C$99</f>
        <v>#DIV/0!</v>
      </c>
      <c r="U104" s="6"/>
      <c r="V104" s="7"/>
      <c r="W104" s="294">
        <v>2.8</v>
      </c>
      <c r="X104" s="294">
        <v>3.6</v>
      </c>
      <c r="Y104" s="5">
        <f t="shared" si="50"/>
        <v>0</v>
      </c>
      <c r="Z104" s="5">
        <f t="shared" si="50"/>
        <v>0</v>
      </c>
      <c r="AA104" s="249">
        <f t="shared" si="50"/>
        <v>0</v>
      </c>
      <c r="AC104" s="268" t="s">
        <v>53</v>
      </c>
      <c r="AD104" s="349">
        <f>F134/60</f>
        <v>0</v>
      </c>
      <c r="AE104" s="5"/>
      <c r="AF104" s="5"/>
      <c r="AG104" s="5"/>
      <c r="AH104" s="5"/>
      <c r="AI104" s="5"/>
      <c r="AJ104" s="5"/>
      <c r="AK104" s="266"/>
      <c r="AS104" s="232"/>
      <c r="AY104">
        <f t="shared" si="52"/>
        <v>1</v>
      </c>
      <c r="AZ104">
        <f t="shared" si="53"/>
        <v>0.01866025403784439</v>
      </c>
      <c r="BA104">
        <f t="shared" si="54"/>
        <v>-0.03732050807568878</v>
      </c>
      <c r="BB104">
        <f t="shared" si="55"/>
        <v>0</v>
      </c>
      <c r="BC104">
        <f t="shared" si="56"/>
        <v>0</v>
      </c>
      <c r="BD104">
        <f t="shared" si="57"/>
        <v>0</v>
      </c>
      <c r="BE104">
        <f t="shared" si="58"/>
        <v>0</v>
      </c>
      <c r="BF104">
        <f aca="true" t="shared" si="60" ref="BF104:BF135">AY104-AY103</f>
        <v>0</v>
      </c>
      <c r="BG104">
        <f t="shared" si="59"/>
        <v>1</v>
      </c>
    </row>
    <row r="105" spans="1:59" ht="15.75">
      <c r="A105" s="72" t="s">
        <v>48</v>
      </c>
      <c r="B105" s="560">
        <f>B12</f>
        <v>0</v>
      </c>
      <c r="C105" s="49"/>
      <c r="D105" s="457" t="s">
        <v>224</v>
      </c>
      <c r="E105" s="458">
        <f>B103*(1-E103*E104)</f>
        <v>0</v>
      </c>
      <c r="F105" s="37"/>
      <c r="G105" t="s">
        <v>225</v>
      </c>
      <c r="H105" s="2"/>
      <c r="K105" s="2"/>
      <c r="L105" s="2"/>
      <c r="R105" s="289">
        <v>5.5</v>
      </c>
      <c r="S105" s="6" t="e">
        <f t="shared" si="51"/>
        <v>#DIV/0!</v>
      </c>
      <c r="T105" s="6" t="e">
        <f>($F$32/H126)*($R105^(-$O$29))/$N$29/$C$99</f>
        <v>#DIV/0!</v>
      </c>
      <c r="U105" s="6"/>
      <c r="V105" s="7"/>
      <c r="W105" s="294">
        <v>2.8</v>
      </c>
      <c r="X105" s="294">
        <v>4.8</v>
      </c>
      <c r="Y105" s="5">
        <f t="shared" si="50"/>
        <v>0</v>
      </c>
      <c r="Z105" s="5">
        <f t="shared" si="50"/>
        <v>0</v>
      </c>
      <c r="AA105" s="249">
        <f t="shared" si="50"/>
        <v>0</v>
      </c>
      <c r="AC105" s="268" t="s">
        <v>59</v>
      </c>
      <c r="AD105" s="348"/>
      <c r="AE105" s="5"/>
      <c r="AF105" s="5"/>
      <c r="AG105" s="5"/>
      <c r="AH105" s="5"/>
      <c r="AI105" s="5"/>
      <c r="AJ105" s="5"/>
      <c r="AK105" s="266"/>
      <c r="AS105" s="232"/>
      <c r="AY105">
        <f t="shared" si="52"/>
        <v>1</v>
      </c>
      <c r="AZ105">
        <f t="shared" si="53"/>
        <v>0.01866025403784439</v>
      </c>
      <c r="BA105">
        <f t="shared" si="54"/>
        <v>-0.03732050807568878</v>
      </c>
      <c r="BB105">
        <f t="shared" si="55"/>
        <v>0</v>
      </c>
      <c r="BC105">
        <f t="shared" si="56"/>
        <v>0</v>
      </c>
      <c r="BD105">
        <f t="shared" si="57"/>
        <v>0</v>
      </c>
      <c r="BE105">
        <f t="shared" si="58"/>
        <v>0</v>
      </c>
      <c r="BF105">
        <f t="shared" si="60"/>
        <v>0</v>
      </c>
      <c r="BG105">
        <f t="shared" si="59"/>
        <v>1</v>
      </c>
    </row>
    <row r="106" spans="1:59" ht="15.75">
      <c r="A106" s="72" t="s">
        <v>51</v>
      </c>
      <c r="B106" s="560">
        <f>B17</f>
        <v>0</v>
      </c>
      <c r="C106" s="49"/>
      <c r="D106" s="457" t="s">
        <v>226</v>
      </c>
      <c r="E106" s="458">
        <f>B105*(1+(0.2*(E103*E104/(1-E103*E104)))^2)</f>
        <v>0</v>
      </c>
      <c r="F106" s="38"/>
      <c r="G106" s="534" t="s">
        <v>227</v>
      </c>
      <c r="K106" s="2"/>
      <c r="R106" s="289">
        <v>6</v>
      </c>
      <c r="S106" s="6" t="e">
        <f t="shared" si="51"/>
        <v>#DIV/0!</v>
      </c>
      <c r="T106" s="6" t="e">
        <f>($F$32/H126)*($R106^(-$O$29))/$N$29/$C$99</f>
        <v>#DIV/0!</v>
      </c>
      <c r="U106" s="6"/>
      <c r="V106" s="7"/>
      <c r="W106" s="294">
        <v>5.4</v>
      </c>
      <c r="X106" s="294">
        <v>7.9</v>
      </c>
      <c r="Y106" s="5">
        <f t="shared" si="50"/>
        <v>0</v>
      </c>
      <c r="Z106" s="5">
        <f t="shared" si="50"/>
        <v>0</v>
      </c>
      <c r="AA106" s="249">
        <f t="shared" si="50"/>
        <v>0</v>
      </c>
      <c r="AC106" s="268" t="s">
        <v>63</v>
      </c>
      <c r="AD106" s="350" t="e">
        <f>AE106*AF106*AG106+(AH106*AI106)</f>
        <v>#DIV/0!</v>
      </c>
      <c r="AE106" s="351" t="e">
        <f>PI()*AD95*AD100*AD104*AD115/(3*(AD115-AD125*AD113))</f>
        <v>#DIV/0!</v>
      </c>
      <c r="AF106" s="351" t="e">
        <f>2*AD115^3-3*AD125*AD115^2*AD113+AD113^3*(3*AD125-2)</f>
        <v>#DIV/0!</v>
      </c>
      <c r="AG106" s="351" t="e">
        <f>AD132*(SIN(AD129)-SIN(AD130))+AD135*(SIN(AD130)-SIN(AD131))</f>
        <v>#DIV/0!</v>
      </c>
      <c r="AH106" s="351" t="e">
        <f>AD100*AD132*(AD104*AD115*PI()/(AD115-AD125*AD113))^3</f>
        <v>#DIV/0!</v>
      </c>
      <c r="AI106" s="351" t="e">
        <f>(AD115-AD125*AD113)^4-(AD113^4)*(AD125-1)^4</f>
        <v>#DIV/0!</v>
      </c>
      <c r="AJ106" s="5">
        <v>12</v>
      </c>
      <c r="AK106" s="266"/>
      <c r="AS106" s="232"/>
      <c r="AY106">
        <f t="shared" si="52"/>
        <v>1</v>
      </c>
      <c r="AZ106">
        <f t="shared" si="53"/>
        <v>0.01866025403784439</v>
      </c>
      <c r="BA106">
        <f t="shared" si="54"/>
        <v>-0.03732050807568878</v>
      </c>
      <c r="BB106">
        <f t="shared" si="55"/>
        <v>0</v>
      </c>
      <c r="BC106">
        <f t="shared" si="56"/>
        <v>0</v>
      </c>
      <c r="BD106">
        <f t="shared" si="57"/>
        <v>0</v>
      </c>
      <c r="BE106">
        <f t="shared" si="58"/>
        <v>0</v>
      </c>
      <c r="BF106">
        <f t="shared" si="60"/>
        <v>0</v>
      </c>
      <c r="BG106">
        <f t="shared" si="59"/>
        <v>1</v>
      </c>
    </row>
    <row r="107" spans="1:59" ht="12.75">
      <c r="A107" s="72" t="s">
        <v>64</v>
      </c>
      <c r="B107" s="587">
        <f>B15</f>
        <v>0</v>
      </c>
      <c r="C107" s="376" t="s">
        <v>469</v>
      </c>
      <c r="D107" s="546"/>
      <c r="E107" s="459"/>
      <c r="F107" s="77"/>
      <c r="R107" s="289">
        <v>6.5</v>
      </c>
      <c r="S107" s="6" t="e">
        <f t="shared" si="51"/>
        <v>#DIV/0!</v>
      </c>
      <c r="T107" s="6" t="e">
        <f>($F$32/H126)*($R107^(-$O$29))/$N$29/$C$99</f>
        <v>#DIV/0!</v>
      </c>
      <c r="U107" s="6"/>
      <c r="V107" s="7"/>
      <c r="W107" s="294">
        <v>3</v>
      </c>
      <c r="X107" s="294">
        <v>4.2</v>
      </c>
      <c r="Y107" s="5">
        <f t="shared" si="50"/>
        <v>0</v>
      </c>
      <c r="Z107" s="5">
        <f t="shared" si="50"/>
        <v>0</v>
      </c>
      <c r="AA107" s="249">
        <f t="shared" si="50"/>
        <v>0</v>
      </c>
      <c r="AC107" s="268" t="s">
        <v>67</v>
      </c>
      <c r="AD107" s="350" t="e">
        <f>AE107*AF107*AG107+AH107*AI107</f>
        <v>#DIV/0!</v>
      </c>
      <c r="AE107" s="351" t="e">
        <f>PI()*AD95*AD102*AD104/(3*(AD115-AD116))</f>
        <v>#DIV/0!</v>
      </c>
      <c r="AF107" s="351" t="e">
        <f>AD115^4-4*AD115*AD113^3+3*AD113^4</f>
        <v>#DIV/0!</v>
      </c>
      <c r="AG107" s="351" t="e">
        <f>AD132*(SIN(AD129)-SIN(AD130))+AD135*(SIN(AD130)-SIN(AD131))</f>
        <v>#DIV/0!</v>
      </c>
      <c r="AH107" s="351" t="e">
        <f>(2*(PI()^3)*(AD104^3)*AD102*AD132)/(5*(AD115-AD113))</f>
        <v>#DIV/0!</v>
      </c>
      <c r="AI107" s="351" t="e">
        <f>(AD115^5)-5*AD115*(AD113^4)+4*(AD113^5)</f>
        <v>#DIV/0!</v>
      </c>
      <c r="AJ107" s="5">
        <v>13</v>
      </c>
      <c r="AK107" s="266"/>
      <c r="AS107" s="232"/>
      <c r="AY107">
        <f t="shared" si="52"/>
        <v>1</v>
      </c>
      <c r="AZ107">
        <f t="shared" si="53"/>
        <v>0.01866025403784439</v>
      </c>
      <c r="BA107">
        <f t="shared" si="54"/>
        <v>-0.03732050807568878</v>
      </c>
      <c r="BB107">
        <f t="shared" si="55"/>
        <v>0</v>
      </c>
      <c r="BC107">
        <f t="shared" si="56"/>
        <v>0</v>
      </c>
      <c r="BD107">
        <f t="shared" si="57"/>
        <v>0</v>
      </c>
      <c r="BE107">
        <f t="shared" si="58"/>
        <v>0</v>
      </c>
      <c r="BF107">
        <f t="shared" si="60"/>
        <v>0</v>
      </c>
      <c r="BG107">
        <f t="shared" si="59"/>
        <v>1</v>
      </c>
    </row>
    <row r="108" spans="1:59" ht="12.75">
      <c r="A108" s="35" t="s">
        <v>228</v>
      </c>
      <c r="B108" s="431"/>
      <c r="C108" s="129"/>
      <c r="D108" s="455" t="s">
        <v>229</v>
      </c>
      <c r="E108" s="460">
        <f>IF(E106&gt;B105,E106,B105)</f>
        <v>0</v>
      </c>
      <c r="F108" s="146"/>
      <c r="R108" s="289">
        <v>7</v>
      </c>
      <c r="S108" s="6" t="e">
        <f t="shared" si="51"/>
        <v>#DIV/0!</v>
      </c>
      <c r="T108" s="6" t="e">
        <f>($F$32/H126)*($R108^(-$O$29))/$N$29/$C$99</f>
        <v>#DIV/0!</v>
      </c>
      <c r="U108" s="7"/>
      <c r="V108" s="7"/>
      <c r="W108" s="294">
        <v>3.2</v>
      </c>
      <c r="X108" s="294">
        <v>4.2</v>
      </c>
      <c r="Y108" s="5">
        <f t="shared" si="50"/>
        <v>0</v>
      </c>
      <c r="Z108" s="5">
        <f t="shared" si="50"/>
        <v>0</v>
      </c>
      <c r="AA108" s="249">
        <f t="shared" si="50"/>
        <v>0</v>
      </c>
      <c r="AC108" s="268" t="s">
        <v>70</v>
      </c>
      <c r="AD108" s="350">
        <f>1.68*AD93^2.05*(AD127*(0.667*AD102+AD100))^0.82</f>
        <v>0</v>
      </c>
      <c r="AE108" s="351"/>
      <c r="AF108" s="352">
        <v>14</v>
      </c>
      <c r="AG108" s="351"/>
      <c r="AH108" s="351"/>
      <c r="AI108" s="351"/>
      <c r="AJ108" s="5"/>
      <c r="AK108" s="266"/>
      <c r="AS108" s="232"/>
      <c r="AY108">
        <f t="shared" si="52"/>
        <v>1</v>
      </c>
      <c r="AZ108">
        <f t="shared" si="53"/>
        <v>0.01866025403784439</v>
      </c>
      <c r="BA108">
        <f t="shared" si="54"/>
        <v>-0.03732050807568878</v>
      </c>
      <c r="BB108">
        <f t="shared" si="55"/>
        <v>0</v>
      </c>
      <c r="BC108">
        <f t="shared" si="56"/>
        <v>0</v>
      </c>
      <c r="BD108">
        <f t="shared" si="57"/>
        <v>0</v>
      </c>
      <c r="BE108">
        <f t="shared" si="58"/>
        <v>0</v>
      </c>
      <c r="BF108">
        <f t="shared" si="60"/>
        <v>0</v>
      </c>
      <c r="BG108">
        <f t="shared" si="59"/>
        <v>1</v>
      </c>
    </row>
    <row r="109" spans="1:59" ht="14.25" customHeight="1">
      <c r="A109" s="34"/>
      <c r="B109" s="9"/>
      <c r="C109" s="138"/>
      <c r="D109" s="134"/>
      <c r="E109" s="147"/>
      <c r="F109" s="146"/>
      <c r="H109" s="2"/>
      <c r="R109" s="289">
        <v>7.5</v>
      </c>
      <c r="S109" s="6" t="e">
        <f t="shared" si="51"/>
        <v>#DIV/0!</v>
      </c>
      <c r="T109" s="6" t="e">
        <f>($F$32/H126)*($R109^(-$O$29))/$N$29/$C$99</f>
        <v>#DIV/0!</v>
      </c>
      <c r="U109" s="7"/>
      <c r="V109" s="7"/>
      <c r="W109" s="294">
        <v>5.4</v>
      </c>
      <c r="X109" s="294">
        <v>6.7</v>
      </c>
      <c r="Y109" s="5">
        <f t="shared" si="50"/>
        <v>0</v>
      </c>
      <c r="Z109" s="5">
        <f t="shared" si="50"/>
        <v>0</v>
      </c>
      <c r="AA109" s="249">
        <f t="shared" si="50"/>
        <v>0</v>
      </c>
      <c r="AC109" s="353" t="s">
        <v>72</v>
      </c>
      <c r="AD109" s="354" t="e">
        <f>AD108+(AD98*(AD106+AD107))</f>
        <v>#DIV/0!</v>
      </c>
      <c r="AE109" s="355"/>
      <c r="AF109" s="352">
        <v>15</v>
      </c>
      <c r="AG109" s="355"/>
      <c r="AH109" s="355"/>
      <c r="AI109" s="355"/>
      <c r="AJ109" s="31"/>
      <c r="AK109" s="266"/>
      <c r="AS109" s="232"/>
      <c r="AY109">
        <f t="shared" si="52"/>
        <v>1</v>
      </c>
      <c r="AZ109">
        <f t="shared" si="53"/>
        <v>0.01866025403784439</v>
      </c>
      <c r="BA109">
        <f t="shared" si="54"/>
        <v>-0.03732050807568878</v>
      </c>
      <c r="BB109">
        <f t="shared" si="55"/>
        <v>0</v>
      </c>
      <c r="BC109">
        <f t="shared" si="56"/>
        <v>0</v>
      </c>
      <c r="BD109">
        <f t="shared" si="57"/>
        <v>0</v>
      </c>
      <c r="BE109">
        <f t="shared" si="58"/>
        <v>0</v>
      </c>
      <c r="BF109">
        <f t="shared" si="60"/>
        <v>0</v>
      </c>
      <c r="BG109">
        <f t="shared" si="59"/>
        <v>1</v>
      </c>
    </row>
    <row r="110" spans="1:59" ht="12.75">
      <c r="A110" s="115" t="s">
        <v>230</v>
      </c>
      <c r="B110" s="11"/>
      <c r="C110" s="125"/>
      <c r="D110" s="148" t="s">
        <v>231</v>
      </c>
      <c r="E110" s="147" t="s">
        <v>78</v>
      </c>
      <c r="F110" s="146"/>
      <c r="H110" s="2"/>
      <c r="R110" s="289">
        <v>8</v>
      </c>
      <c r="S110" s="6" t="e">
        <f t="shared" si="51"/>
        <v>#DIV/0!</v>
      </c>
      <c r="T110" s="6" t="e">
        <f>($F$32/H126)*($R110^(-$O$29))/$N$29/$C$99</f>
        <v>#DIV/0!</v>
      </c>
      <c r="U110" s="7"/>
      <c r="V110" s="7"/>
      <c r="W110" s="294">
        <v>3.5</v>
      </c>
      <c r="X110" s="294">
        <v>4.8</v>
      </c>
      <c r="Y110" s="5">
        <f t="shared" si="50"/>
        <v>0</v>
      </c>
      <c r="Z110" s="5">
        <f t="shared" si="50"/>
        <v>0</v>
      </c>
      <c r="AA110" s="249">
        <f t="shared" si="50"/>
        <v>0</v>
      </c>
      <c r="AC110" s="268" t="s">
        <v>74</v>
      </c>
      <c r="AD110" s="348"/>
      <c r="AE110" s="5"/>
      <c r="AF110" s="5"/>
      <c r="AG110" s="5"/>
      <c r="AH110" s="5"/>
      <c r="AI110" s="5"/>
      <c r="AJ110" s="5"/>
      <c r="AK110" s="266"/>
      <c r="AS110" s="232"/>
      <c r="AY110">
        <f t="shared" si="52"/>
        <v>1</v>
      </c>
      <c r="AZ110">
        <f t="shared" si="53"/>
        <v>0.01866025403784439</v>
      </c>
      <c r="BA110">
        <f t="shared" si="54"/>
        <v>-0.03732050807568878</v>
      </c>
      <c r="BB110">
        <f t="shared" si="55"/>
        <v>0</v>
      </c>
      <c r="BC110">
        <f t="shared" si="56"/>
        <v>0</v>
      </c>
      <c r="BD110">
        <f t="shared" si="57"/>
        <v>0</v>
      </c>
      <c r="BE110">
        <f t="shared" si="58"/>
        <v>0</v>
      </c>
      <c r="BF110">
        <f t="shared" si="60"/>
        <v>0</v>
      </c>
      <c r="BG110">
        <f t="shared" si="59"/>
        <v>1</v>
      </c>
    </row>
    <row r="111" spans="1:59" ht="12.75">
      <c r="A111" s="48" t="s">
        <v>232</v>
      </c>
      <c r="B111" s="431"/>
      <c r="C111" s="138"/>
      <c r="D111" s="149" t="s">
        <v>82</v>
      </c>
      <c r="E111" s="150">
        <f>IF(B111&gt;0,IF(B111=2,1.3,1),1)</f>
        <v>1</v>
      </c>
      <c r="F111" s="151"/>
      <c r="H111" s="2"/>
      <c r="R111" s="289">
        <v>8.5</v>
      </c>
      <c r="S111" s="6" t="e">
        <f t="shared" si="51"/>
        <v>#DIV/0!</v>
      </c>
      <c r="T111" s="6" t="e">
        <f>($F$32/H126)*($R111^(-$O$29))/$N$29/$C$99</f>
        <v>#DIV/0!</v>
      </c>
      <c r="U111" s="7"/>
      <c r="V111" s="7"/>
      <c r="W111" s="294">
        <v>3</v>
      </c>
      <c r="X111" s="294">
        <v>4.8</v>
      </c>
      <c r="Y111" s="5">
        <f t="shared" si="50"/>
        <v>0</v>
      </c>
      <c r="Z111" s="5">
        <f t="shared" si="50"/>
        <v>0</v>
      </c>
      <c r="AA111" s="249">
        <f t="shared" si="50"/>
        <v>0</v>
      </c>
      <c r="AC111" s="268" t="s">
        <v>79</v>
      </c>
      <c r="AD111" s="348"/>
      <c r="AE111" s="5"/>
      <c r="AF111" s="5"/>
      <c r="AG111" s="5"/>
      <c r="AH111" s="5"/>
      <c r="AI111" s="5"/>
      <c r="AJ111" s="5"/>
      <c r="AK111" s="266"/>
      <c r="AS111" s="232"/>
      <c r="AY111">
        <f t="shared" si="52"/>
        <v>1</v>
      </c>
      <c r="AZ111">
        <f t="shared" si="53"/>
        <v>0.01866025403784439</v>
      </c>
      <c r="BA111">
        <f t="shared" si="54"/>
        <v>-0.03732050807568878</v>
      </c>
      <c r="BB111">
        <f t="shared" si="55"/>
        <v>0</v>
      </c>
      <c r="BC111">
        <f t="shared" si="56"/>
        <v>0</v>
      </c>
      <c r="BD111">
        <f t="shared" si="57"/>
        <v>0</v>
      </c>
      <c r="BE111">
        <f t="shared" si="58"/>
        <v>0</v>
      </c>
      <c r="BF111">
        <f t="shared" si="60"/>
        <v>0</v>
      </c>
      <c r="BG111">
        <f t="shared" si="59"/>
        <v>1</v>
      </c>
    </row>
    <row r="112" spans="1:59" ht="12.75">
      <c r="A112" s="48" t="s">
        <v>233</v>
      </c>
      <c r="B112" s="431"/>
      <c r="C112" s="138"/>
      <c r="D112" s="149" t="s">
        <v>234</v>
      </c>
      <c r="E112" s="150">
        <f>IF(B112&gt;0,IF(B112=1,1.2,1),1)</f>
        <v>1</v>
      </c>
      <c r="F112" s="151"/>
      <c r="H112" s="2"/>
      <c r="N112" s="281">
        <f>IF(B106&gt;0,E108/B106,)</f>
        <v>0</v>
      </c>
      <c r="O112" s="282" t="s">
        <v>91</v>
      </c>
      <c r="R112" s="289">
        <v>9</v>
      </c>
      <c r="S112" s="6" t="e">
        <f t="shared" si="51"/>
        <v>#DIV/0!</v>
      </c>
      <c r="T112" s="6" t="e">
        <f>($F$32/H126)*($R112^(-$O$29))/$N$29/$C$99</f>
        <v>#DIV/0!</v>
      </c>
      <c r="U112" s="7"/>
      <c r="V112" s="7"/>
      <c r="W112" s="294">
        <v>3.5</v>
      </c>
      <c r="X112" s="294">
        <v>5.4</v>
      </c>
      <c r="Y112" s="5">
        <f>$R112*Y$3</f>
        <v>0</v>
      </c>
      <c r="Z112" s="5">
        <f>$R112*Z$3</f>
        <v>0</v>
      </c>
      <c r="AA112" s="249">
        <f>$R112*AA$3</f>
        <v>0</v>
      </c>
      <c r="AC112" s="268" t="s">
        <v>80</v>
      </c>
      <c r="AD112" s="348"/>
      <c r="AE112" s="5"/>
      <c r="AF112" s="5"/>
      <c r="AG112" s="5"/>
      <c r="AH112" s="5"/>
      <c r="AI112" s="5"/>
      <c r="AJ112" s="5"/>
      <c r="AK112" s="266"/>
      <c r="AS112" s="232"/>
      <c r="AY112">
        <f t="shared" si="52"/>
        <v>1</v>
      </c>
      <c r="AZ112">
        <f t="shared" si="53"/>
        <v>0.01866025403784439</v>
      </c>
      <c r="BA112">
        <f t="shared" si="54"/>
        <v>-0.03732050807568878</v>
      </c>
      <c r="BB112">
        <f t="shared" si="55"/>
        <v>0</v>
      </c>
      <c r="BC112">
        <f t="shared" si="56"/>
        <v>0</v>
      </c>
      <c r="BD112">
        <f t="shared" si="57"/>
        <v>0</v>
      </c>
      <c r="BE112">
        <f t="shared" si="58"/>
        <v>0</v>
      </c>
      <c r="BF112">
        <f t="shared" si="60"/>
        <v>0</v>
      </c>
      <c r="BG112">
        <f t="shared" si="59"/>
        <v>1</v>
      </c>
    </row>
    <row r="113" spans="1:59" ht="12.75">
      <c r="A113" s="48" t="s">
        <v>235</v>
      </c>
      <c r="B113" s="431"/>
      <c r="C113" s="125"/>
      <c r="D113" s="149" t="s">
        <v>86</v>
      </c>
      <c r="E113" s="150">
        <f>IF(F128&gt;0,IF(F128&gt;3.81,1,(2.44/F128)^0.2),1)</f>
        <v>1</v>
      </c>
      <c r="F113" s="151"/>
      <c r="G113" s="150">
        <f>IF(F128&gt;0,IF(F128&gt;3.81,0.914,(2.44/F128)^0.2),1)</f>
        <v>1</v>
      </c>
      <c r="H113" t="s">
        <v>468</v>
      </c>
      <c r="N113" s="272" t="e">
        <f>8+5*(B129-0.15)/B128</f>
        <v>#DIV/0!</v>
      </c>
      <c r="O113" s="283" t="s">
        <v>94</v>
      </c>
      <c r="R113" s="290"/>
      <c r="S113" s="5"/>
      <c r="T113" s="5"/>
      <c r="U113" s="5"/>
      <c r="V113" s="5"/>
      <c r="W113" s="293">
        <v>4</v>
      </c>
      <c r="X113" s="293">
        <v>5.4</v>
      </c>
      <c r="Y113" s="5"/>
      <c r="Z113" s="5"/>
      <c r="AA113" s="249"/>
      <c r="AC113" s="268" t="s">
        <v>83</v>
      </c>
      <c r="AD113" s="356" t="e">
        <f>AD115*(1-(2*PI()*AD126*AD97)/(2*PI()+AD129-AD130))^0.5</f>
        <v>#DIV/0!</v>
      </c>
      <c r="AE113" s="5"/>
      <c r="AF113" s="5">
        <v>10</v>
      </c>
      <c r="AG113" s="5"/>
      <c r="AH113" s="5"/>
      <c r="AI113" s="5"/>
      <c r="AJ113" s="5"/>
      <c r="AK113" s="266"/>
      <c r="AS113" s="232"/>
      <c r="AY113">
        <f t="shared" si="52"/>
        <v>1</v>
      </c>
      <c r="AZ113">
        <f t="shared" si="53"/>
        <v>0.01866025403784439</v>
      </c>
      <c r="BA113">
        <f t="shared" si="54"/>
        <v>-0.03732050807568878</v>
      </c>
      <c r="BB113">
        <f t="shared" si="55"/>
        <v>0</v>
      </c>
      <c r="BC113">
        <f t="shared" si="56"/>
        <v>0</v>
      </c>
      <c r="BD113">
        <f t="shared" si="57"/>
        <v>0</v>
      </c>
      <c r="BE113">
        <f t="shared" si="58"/>
        <v>0</v>
      </c>
      <c r="BF113">
        <f t="shared" si="60"/>
        <v>0</v>
      </c>
      <c r="BG113">
        <f t="shared" si="59"/>
        <v>1</v>
      </c>
    </row>
    <row r="114" spans="1:59" ht="12.75">
      <c r="A114" s="34"/>
      <c r="B114" s="11"/>
      <c r="C114" s="129"/>
      <c r="D114" s="149" t="s">
        <v>88</v>
      </c>
      <c r="E114" s="150">
        <f>IF(B106&gt;0,IF(E108&lt;4000*(13/(B107/1.103))^0.5,1,1+(B107/1.103-7)*((E108/(4000*(13/(B107/1.103))^0.5))-1)/(E108/B106)),1)</f>
        <v>1</v>
      </c>
      <c r="F114" s="151"/>
      <c r="G114" s="9"/>
      <c r="H114" s="4"/>
      <c r="N114" s="284" t="e">
        <f>N112-N113</f>
        <v>#DIV/0!</v>
      </c>
      <c r="O114" s="285" t="s">
        <v>236</v>
      </c>
      <c r="R114" s="290"/>
      <c r="S114" s="5"/>
      <c r="T114" s="5"/>
      <c r="U114" s="5"/>
      <c r="V114" s="5"/>
      <c r="W114" s="293">
        <v>4</v>
      </c>
      <c r="X114" s="293">
        <v>6</v>
      </c>
      <c r="Y114" s="5"/>
      <c r="Z114" s="5"/>
      <c r="AA114" s="249"/>
      <c r="AC114" s="268" t="s">
        <v>85</v>
      </c>
      <c r="AD114" s="356">
        <f>(AD115/2)*(1+(1-(2*PI()*AD97)/(2*PI()+AD129-AD130))^0.5)</f>
        <v>0</v>
      </c>
      <c r="AE114" s="5"/>
      <c r="AF114" s="5">
        <v>7</v>
      </c>
      <c r="AG114" s="5"/>
      <c r="AH114" s="5"/>
      <c r="AI114" s="5"/>
      <c r="AJ114" s="5"/>
      <c r="AK114" s="266"/>
      <c r="AS114" s="232"/>
      <c r="AY114">
        <f t="shared" si="52"/>
        <v>1</v>
      </c>
      <c r="AZ114">
        <f t="shared" si="53"/>
        <v>0.01866025403784439</v>
      </c>
      <c r="BA114">
        <f t="shared" si="54"/>
        <v>-0.03732050807568878</v>
      </c>
      <c r="BB114">
        <f t="shared" si="55"/>
        <v>0</v>
      </c>
      <c r="BC114">
        <f t="shared" si="56"/>
        <v>0</v>
      </c>
      <c r="BD114">
        <f t="shared" si="57"/>
        <v>0</v>
      </c>
      <c r="BE114">
        <f t="shared" si="58"/>
        <v>0</v>
      </c>
      <c r="BF114">
        <f t="shared" si="60"/>
        <v>0</v>
      </c>
      <c r="BG114">
        <f t="shared" si="59"/>
        <v>1</v>
      </c>
    </row>
    <row r="115" spans="1:59" ht="12.75">
      <c r="A115" s="34"/>
      <c r="B115" s="11"/>
      <c r="C115" s="129"/>
      <c r="D115" s="149" t="s">
        <v>90</v>
      </c>
      <c r="E115" s="150">
        <f>IF(B106&gt;0,IF(B106&lt;75,(B106+10.3)/(1.145*B106),1),1)</f>
        <v>1</v>
      </c>
      <c r="F115" s="133"/>
      <c r="R115" s="290"/>
      <c r="S115" s="5"/>
      <c r="T115" s="5"/>
      <c r="U115" s="5"/>
      <c r="V115" s="5"/>
      <c r="W115" s="293">
        <v>4.1</v>
      </c>
      <c r="X115" s="293">
        <v>5.4</v>
      </c>
      <c r="Y115" s="5"/>
      <c r="Z115" s="5"/>
      <c r="AA115" s="249"/>
      <c r="AC115" s="268" t="s">
        <v>87</v>
      </c>
      <c r="AD115" s="357">
        <f>AD93/2</f>
        <v>0</v>
      </c>
      <c r="AE115" s="5"/>
      <c r="AF115" s="5"/>
      <c r="AG115" s="5"/>
      <c r="AH115" s="5"/>
      <c r="AI115" s="5"/>
      <c r="AJ115" s="5"/>
      <c r="AK115" s="266"/>
      <c r="AS115" s="232"/>
      <c r="AY115">
        <f t="shared" si="52"/>
        <v>1</v>
      </c>
      <c r="AZ115">
        <f t="shared" si="53"/>
        <v>0.01866025403784439</v>
      </c>
      <c r="BA115">
        <f t="shared" si="54"/>
        <v>-0.03732050807568878</v>
      </c>
      <c r="BB115">
        <f t="shared" si="55"/>
        <v>0</v>
      </c>
      <c r="BC115">
        <f t="shared" si="56"/>
        <v>0</v>
      </c>
      <c r="BD115">
        <f t="shared" si="57"/>
        <v>0</v>
      </c>
      <c r="BE115">
        <f t="shared" si="58"/>
        <v>0</v>
      </c>
      <c r="BF115">
        <f t="shared" si="60"/>
        <v>0</v>
      </c>
      <c r="BG115">
        <f t="shared" si="59"/>
        <v>1</v>
      </c>
    </row>
    <row r="116" spans="1:59" ht="12.75">
      <c r="A116" s="34"/>
      <c r="B116" s="11"/>
      <c r="C116" s="129"/>
      <c r="D116" s="149" t="s">
        <v>237</v>
      </c>
      <c r="E116" s="274">
        <v>1</v>
      </c>
      <c r="F116" s="133"/>
      <c r="R116" s="290"/>
      <c r="S116" s="5"/>
      <c r="T116" s="5"/>
      <c r="U116" s="5"/>
      <c r="V116" s="5"/>
      <c r="W116" s="293">
        <v>4.1</v>
      </c>
      <c r="X116" s="293">
        <v>6</v>
      </c>
      <c r="Y116" s="5"/>
      <c r="Z116" s="5"/>
      <c r="AA116" s="249"/>
      <c r="AC116" s="268" t="s">
        <v>89</v>
      </c>
      <c r="AD116" s="357">
        <f>AD115*0.25</f>
        <v>0</v>
      </c>
      <c r="AE116" s="5"/>
      <c r="AF116" s="5"/>
      <c r="AG116" s="5"/>
      <c r="AH116" s="5"/>
      <c r="AI116" s="5"/>
      <c r="AJ116" s="5"/>
      <c r="AK116" s="266"/>
      <c r="AS116" s="232"/>
      <c r="AY116">
        <f t="shared" si="52"/>
        <v>1</v>
      </c>
      <c r="AZ116">
        <f t="shared" si="53"/>
        <v>0.01866025403784439</v>
      </c>
      <c r="BA116">
        <f t="shared" si="54"/>
        <v>-0.03732050807568878</v>
      </c>
      <c r="BB116">
        <f t="shared" si="55"/>
        <v>0</v>
      </c>
      <c r="BC116">
        <f t="shared" si="56"/>
        <v>0</v>
      </c>
      <c r="BD116">
        <f t="shared" si="57"/>
        <v>0</v>
      </c>
      <c r="BE116">
        <f t="shared" si="58"/>
        <v>0</v>
      </c>
      <c r="BF116">
        <f t="shared" si="60"/>
        <v>0</v>
      </c>
      <c r="BG116">
        <f t="shared" si="59"/>
        <v>1</v>
      </c>
    </row>
    <row r="117" spans="1:59" ht="12.75">
      <c r="A117" s="40"/>
      <c r="B117" s="11"/>
      <c r="C117" s="125"/>
      <c r="D117" s="149" t="s">
        <v>96</v>
      </c>
      <c r="E117" s="150">
        <f>IF(N112&gt;0,IF(N112&lt;6,IF(N112&gt;1.35,1+0.26/(2*(N112-1.35)),"Too low"),1),1)</f>
        <v>1</v>
      </c>
      <c r="F117" s="151"/>
      <c r="R117" s="290"/>
      <c r="S117" s="5"/>
      <c r="T117" s="5"/>
      <c r="U117" s="5"/>
      <c r="V117" s="5"/>
      <c r="W117" s="293">
        <v>4.2</v>
      </c>
      <c r="X117" s="293">
        <v>5.4</v>
      </c>
      <c r="Y117" s="5"/>
      <c r="Z117" s="5"/>
      <c r="AA117" s="249"/>
      <c r="AC117" s="268" t="s">
        <v>92</v>
      </c>
      <c r="AD117" s="348"/>
      <c r="AE117" s="5"/>
      <c r="AF117" s="5"/>
      <c r="AG117" s="5"/>
      <c r="AH117" s="5"/>
      <c r="AI117" s="5"/>
      <c r="AJ117" s="5"/>
      <c r="AK117" s="266"/>
      <c r="AS117" s="232"/>
      <c r="AY117">
        <f t="shared" si="52"/>
        <v>1</v>
      </c>
      <c r="AZ117">
        <f t="shared" si="53"/>
        <v>0.01866025403784439</v>
      </c>
      <c r="BA117">
        <f t="shared" si="54"/>
        <v>-0.03732050807568878</v>
      </c>
      <c r="BB117">
        <f t="shared" si="55"/>
        <v>0</v>
      </c>
      <c r="BC117">
        <f t="shared" si="56"/>
        <v>0</v>
      </c>
      <c r="BD117">
        <f t="shared" si="57"/>
        <v>0</v>
      </c>
      <c r="BE117">
        <f t="shared" si="58"/>
        <v>0</v>
      </c>
      <c r="BF117">
        <f t="shared" si="60"/>
        <v>0</v>
      </c>
      <c r="BG117">
        <f t="shared" si="59"/>
        <v>1</v>
      </c>
    </row>
    <row r="118" spans="1:59" ht="12.75">
      <c r="A118" s="40"/>
      <c r="B118" s="5"/>
      <c r="C118" s="125"/>
      <c r="D118" s="152" t="s">
        <v>99</v>
      </c>
      <c r="E118" s="280">
        <v>1</v>
      </c>
      <c r="F118" s="154"/>
      <c r="G118" s="104"/>
      <c r="H118" s="4"/>
      <c r="R118" s="290"/>
      <c r="S118" s="5"/>
      <c r="T118" s="5"/>
      <c r="U118" s="5"/>
      <c r="V118" s="5"/>
      <c r="W118" s="293">
        <v>4.4</v>
      </c>
      <c r="X118" s="293">
        <v>6</v>
      </c>
      <c r="Y118" s="5"/>
      <c r="Z118" s="5"/>
      <c r="AA118" s="249"/>
      <c r="AC118" s="268" t="s">
        <v>95</v>
      </c>
      <c r="AD118" s="349" t="e">
        <f>AE118/(AE118+AE119*(100-AE118))</f>
        <v>#DIV/0!</v>
      </c>
      <c r="AE118" s="358">
        <f>$B$135*100</f>
        <v>0</v>
      </c>
      <c r="AF118" s="5"/>
      <c r="AG118" s="5"/>
      <c r="AH118" s="5"/>
      <c r="AI118" s="5"/>
      <c r="AJ118" s="5"/>
      <c r="AK118" s="266"/>
      <c r="AS118" s="232"/>
      <c r="AY118">
        <f t="shared" si="52"/>
        <v>1</v>
      </c>
      <c r="AZ118">
        <f t="shared" si="53"/>
        <v>0.01866025403784439</v>
      </c>
      <c r="BA118">
        <f t="shared" si="54"/>
        <v>-0.03732050807568878</v>
      </c>
      <c r="BB118">
        <f t="shared" si="55"/>
        <v>0</v>
      </c>
      <c r="BC118">
        <f t="shared" si="56"/>
        <v>0</v>
      </c>
      <c r="BD118">
        <f t="shared" si="57"/>
        <v>0</v>
      </c>
      <c r="BE118">
        <f t="shared" si="58"/>
        <v>0</v>
      </c>
      <c r="BF118">
        <f t="shared" si="60"/>
        <v>0</v>
      </c>
      <c r="BG118">
        <f t="shared" si="59"/>
        <v>1</v>
      </c>
    </row>
    <row r="119" spans="1:59" ht="12.75">
      <c r="A119" s="34"/>
      <c r="B119" s="5"/>
      <c r="C119" s="125"/>
      <c r="D119" s="155" t="s">
        <v>102</v>
      </c>
      <c r="E119" s="156">
        <f>E111*E112*E113*E114*E115*E116*E117*E118</f>
        <v>1</v>
      </c>
      <c r="F119" s="157"/>
      <c r="G119" s="9"/>
      <c r="H119" s="4"/>
      <c r="M119" s="4"/>
      <c r="N119" s="382" t="s">
        <v>238</v>
      </c>
      <c r="O119" s="383" t="s">
        <v>239</v>
      </c>
      <c r="R119" s="290"/>
      <c r="S119" s="5"/>
      <c r="T119" s="5"/>
      <c r="U119" s="5"/>
      <c r="V119" s="5"/>
      <c r="W119" s="293">
        <v>4.5</v>
      </c>
      <c r="X119" s="293">
        <v>6</v>
      </c>
      <c r="Y119" s="5"/>
      <c r="Z119" s="5"/>
      <c r="AA119" s="249"/>
      <c r="AC119" s="268" t="s">
        <v>98</v>
      </c>
      <c r="AD119" s="356" t="e">
        <f>(2*PI()-AD130+AD129)/(2*PI()*(AD104/2))</f>
        <v>#DIV/0!</v>
      </c>
      <c r="AE119" s="346">
        <f>$B$9</f>
        <v>0</v>
      </c>
      <c r="AF119" s="5">
        <v>6</v>
      </c>
      <c r="AG119" s="5"/>
      <c r="AH119" s="5"/>
      <c r="AI119" s="5"/>
      <c r="AJ119" s="5"/>
      <c r="AK119" s="266"/>
      <c r="AS119" s="232"/>
      <c r="AY119">
        <f t="shared" si="52"/>
        <v>1</v>
      </c>
      <c r="AZ119">
        <f t="shared" si="53"/>
        <v>0.01866025403784439</v>
      </c>
      <c r="BA119">
        <f t="shared" si="54"/>
        <v>-0.03732050807568878</v>
      </c>
      <c r="BB119">
        <f t="shared" si="55"/>
        <v>0</v>
      </c>
      <c r="BC119">
        <f t="shared" si="56"/>
        <v>0</v>
      </c>
      <c r="BD119">
        <f t="shared" si="57"/>
        <v>0</v>
      </c>
      <c r="BE119">
        <f t="shared" si="58"/>
        <v>0</v>
      </c>
      <c r="BF119">
        <f t="shared" si="60"/>
        <v>0</v>
      </c>
      <c r="BG119">
        <f t="shared" si="59"/>
        <v>1</v>
      </c>
    </row>
    <row r="120" spans="1:59" ht="12.75">
      <c r="A120" s="34"/>
      <c r="B120" s="5"/>
      <c r="C120" s="125"/>
      <c r="D120" s="155"/>
      <c r="E120" s="156"/>
      <c r="F120" s="157"/>
      <c r="G120" s="9"/>
      <c r="H120" s="4"/>
      <c r="L120" s="4"/>
      <c r="M120" s="4"/>
      <c r="N120" s="452"/>
      <c r="O120" s="453"/>
      <c r="R120" s="290"/>
      <c r="S120" s="5"/>
      <c r="T120" s="5"/>
      <c r="U120" s="5"/>
      <c r="V120" s="5"/>
      <c r="W120" s="293">
        <v>4.8</v>
      </c>
      <c r="X120" s="293">
        <v>7.7</v>
      </c>
      <c r="Y120" s="5"/>
      <c r="Z120" s="5"/>
      <c r="AA120" s="249"/>
      <c r="AC120" s="268" t="s">
        <v>100</v>
      </c>
      <c r="AD120" s="356">
        <f>(2*AD114*(SIN(AD129)-SIN(AD130))/AD95)^0.5</f>
        <v>0</v>
      </c>
      <c r="AE120" s="5"/>
      <c r="AF120" s="5">
        <v>8</v>
      </c>
      <c r="AG120" s="5"/>
      <c r="AH120" s="5"/>
      <c r="AI120" s="5"/>
      <c r="AJ120" s="5"/>
      <c r="AK120" s="266"/>
      <c r="AS120" s="232"/>
      <c r="AY120">
        <f t="shared" si="52"/>
        <v>1</v>
      </c>
      <c r="AZ120">
        <f t="shared" si="53"/>
        <v>0.01866025403784439</v>
      </c>
      <c r="BA120">
        <f t="shared" si="54"/>
        <v>-0.03732050807568878</v>
      </c>
      <c r="BB120">
        <f t="shared" si="55"/>
        <v>0</v>
      </c>
      <c r="BC120">
        <f t="shared" si="56"/>
        <v>0</v>
      </c>
      <c r="BD120">
        <f t="shared" si="57"/>
        <v>0</v>
      </c>
      <c r="BE120">
        <f t="shared" si="58"/>
        <v>0</v>
      </c>
      <c r="BF120">
        <f t="shared" si="60"/>
        <v>0</v>
      </c>
      <c r="BG120">
        <f t="shared" si="59"/>
        <v>1</v>
      </c>
    </row>
    <row r="121" spans="1:59" ht="12.75">
      <c r="A121" s="34"/>
      <c r="B121" s="76"/>
      <c r="C121" s="158"/>
      <c r="D121" s="125"/>
      <c r="E121" s="134" t="s">
        <v>240</v>
      </c>
      <c r="F121" s="159">
        <f>IF(E108&gt;0,10*B107*(B106^(-0.5)-E108^(-0.5)),)</f>
        <v>0</v>
      </c>
      <c r="H121" s="4"/>
      <c r="L121" s="4"/>
      <c r="M121" s="3"/>
      <c r="N121" s="384">
        <v>10.552</v>
      </c>
      <c r="O121" s="385">
        <v>2.2014</v>
      </c>
      <c r="R121" s="290"/>
      <c r="S121" s="5"/>
      <c r="T121" s="5"/>
      <c r="U121" s="5"/>
      <c r="V121" s="5"/>
      <c r="W121" s="293">
        <v>4.8</v>
      </c>
      <c r="X121" s="293">
        <v>6.8</v>
      </c>
      <c r="Y121" s="5"/>
      <c r="Z121" s="5"/>
      <c r="AA121" s="249"/>
      <c r="AC121" s="268" t="s">
        <v>101</v>
      </c>
      <c r="AD121" s="359">
        <v>1</v>
      </c>
      <c r="AE121" s="5"/>
      <c r="AF121" s="5"/>
      <c r="AG121" s="5"/>
      <c r="AH121" s="5"/>
      <c r="AI121" s="5"/>
      <c r="AJ121" s="5"/>
      <c r="AK121" s="266"/>
      <c r="AS121" s="232"/>
      <c r="AY121">
        <f t="shared" si="52"/>
        <v>1</v>
      </c>
      <c r="AZ121">
        <f t="shared" si="53"/>
        <v>0.01866025403784439</v>
      </c>
      <c r="BA121">
        <f t="shared" si="54"/>
        <v>-0.03732050807568878</v>
      </c>
      <c r="BB121">
        <f t="shared" si="55"/>
        <v>0</v>
      </c>
      <c r="BC121">
        <f t="shared" si="56"/>
        <v>0</v>
      </c>
      <c r="BD121">
        <f t="shared" si="57"/>
        <v>0</v>
      </c>
      <c r="BE121">
        <f t="shared" si="58"/>
        <v>0</v>
      </c>
      <c r="BF121">
        <f t="shared" si="60"/>
        <v>0</v>
      </c>
      <c r="BG121">
        <f t="shared" si="59"/>
        <v>1</v>
      </c>
    </row>
    <row r="122" spans="1:59" ht="12.75">
      <c r="A122" s="41"/>
      <c r="B122" s="25"/>
      <c r="C122" s="160"/>
      <c r="D122" s="125"/>
      <c r="E122" s="161" t="s">
        <v>241</v>
      </c>
      <c r="F122" s="159">
        <f>IF(E108&gt;0,10*B107*(B106^(-0.5)-E108^(-0.5))*E119,)</f>
        <v>0</v>
      </c>
      <c r="G122" s="10"/>
      <c r="L122" s="3"/>
      <c r="M122" s="6"/>
      <c r="N122" s="6"/>
      <c r="O122" s="6"/>
      <c r="P122" s="7"/>
      <c r="Q122" s="7"/>
      <c r="R122" s="290"/>
      <c r="S122" s="5"/>
      <c r="T122" s="5"/>
      <c r="U122" s="5"/>
      <c r="V122" s="5"/>
      <c r="W122" s="293"/>
      <c r="X122" s="293"/>
      <c r="Y122" s="5"/>
      <c r="Z122" s="5"/>
      <c r="AA122" s="249"/>
      <c r="AB122" s="7"/>
      <c r="AC122" s="268" t="s">
        <v>105</v>
      </c>
      <c r="AD122" s="348"/>
      <c r="AE122" s="5"/>
      <c r="AF122" s="5"/>
      <c r="AG122" s="5"/>
      <c r="AH122" s="5"/>
      <c r="AI122" s="5"/>
      <c r="AJ122" s="5"/>
      <c r="AK122" s="266"/>
      <c r="AS122" s="232"/>
      <c r="AY122">
        <f t="shared" si="52"/>
        <v>1</v>
      </c>
      <c r="AZ122">
        <f t="shared" si="53"/>
        <v>0.01866025403784439</v>
      </c>
      <c r="BA122">
        <f t="shared" si="54"/>
        <v>-0.03732050807568878</v>
      </c>
      <c r="BB122">
        <f t="shared" si="55"/>
        <v>0</v>
      </c>
      <c r="BC122">
        <f t="shared" si="56"/>
        <v>0</v>
      </c>
      <c r="BD122">
        <f t="shared" si="57"/>
        <v>0</v>
      </c>
      <c r="BE122">
        <f t="shared" si="58"/>
        <v>0</v>
      </c>
      <c r="BF122">
        <f t="shared" si="60"/>
        <v>0</v>
      </c>
      <c r="BG122">
        <f t="shared" si="59"/>
        <v>1</v>
      </c>
    </row>
    <row r="123" spans="1:59" ht="12.75">
      <c r="A123" s="41"/>
      <c r="B123" s="25"/>
      <c r="C123" s="160"/>
      <c r="D123" s="125"/>
      <c r="E123" s="454" t="s">
        <v>242</v>
      </c>
      <c r="F123" s="159">
        <f>IF(B103&gt;0,F124/B103,0)</f>
        <v>0</v>
      </c>
      <c r="G123" s="10"/>
      <c r="H123" s="4" t="s">
        <v>243</v>
      </c>
      <c r="I123" s="497"/>
      <c r="J123" t="s">
        <v>244</v>
      </c>
      <c r="K123" s="6"/>
      <c r="M123" s="3"/>
      <c r="N123" s="3"/>
      <c r="O123" s="3"/>
      <c r="R123" s="291"/>
      <c r="S123" s="292"/>
      <c r="T123" s="292"/>
      <c r="U123" s="292"/>
      <c r="V123" s="292"/>
      <c r="W123" s="295"/>
      <c r="X123" s="295"/>
      <c r="Y123" s="292"/>
      <c r="Z123" s="292"/>
      <c r="AA123" s="256"/>
      <c r="AC123" s="268" t="s">
        <v>110</v>
      </c>
      <c r="AD123" s="348"/>
      <c r="AE123" s="5"/>
      <c r="AF123" s="5"/>
      <c r="AG123" s="5"/>
      <c r="AH123" s="5"/>
      <c r="AI123" s="5"/>
      <c r="AJ123" s="5"/>
      <c r="AK123" s="266"/>
      <c r="AS123" s="232"/>
      <c r="AY123">
        <f t="shared" si="52"/>
        <v>1</v>
      </c>
      <c r="AZ123">
        <f t="shared" si="53"/>
        <v>0.01866025403784439</v>
      </c>
      <c r="BA123">
        <f t="shared" si="54"/>
        <v>-0.03732050807568878</v>
      </c>
      <c r="BB123">
        <f t="shared" si="55"/>
        <v>0</v>
      </c>
      <c r="BC123">
        <f t="shared" si="56"/>
        <v>0</v>
      </c>
      <c r="BD123">
        <f t="shared" si="57"/>
        <v>0</v>
      </c>
      <c r="BE123">
        <f t="shared" si="58"/>
        <v>0</v>
      </c>
      <c r="BF123">
        <f t="shared" si="60"/>
        <v>0</v>
      </c>
      <c r="BG123">
        <f t="shared" si="59"/>
        <v>1</v>
      </c>
    </row>
    <row r="124" spans="1:59" ht="20.25">
      <c r="A124" s="109"/>
      <c r="B124" s="31"/>
      <c r="C124" s="162"/>
      <c r="D124" s="162"/>
      <c r="E124" s="163" t="s">
        <v>116</v>
      </c>
      <c r="F124" s="164">
        <f>F122*E105</f>
        <v>0</v>
      </c>
      <c r="G124" s="11"/>
      <c r="H124" s="218">
        <f>F36-F35</f>
        <v>0</v>
      </c>
      <c r="I124" s="497"/>
      <c r="J124" s="497"/>
      <c r="K124" s="13"/>
      <c r="L124" s="3"/>
      <c r="M124" s="3"/>
      <c r="N124" s="3"/>
      <c r="O124" s="3"/>
      <c r="AC124" s="268" t="s">
        <v>112</v>
      </c>
      <c r="AD124" s="348"/>
      <c r="AE124" s="5"/>
      <c r="AF124" s="5"/>
      <c r="AG124" s="5"/>
      <c r="AH124" s="5"/>
      <c r="AI124" s="5"/>
      <c r="AJ124" s="5"/>
      <c r="AK124" s="266"/>
      <c r="AS124" s="232"/>
      <c r="AY124">
        <f t="shared" si="52"/>
        <v>1</v>
      </c>
      <c r="AZ124">
        <f t="shared" si="53"/>
        <v>0.01866025403784439</v>
      </c>
      <c r="BA124">
        <f t="shared" si="54"/>
        <v>-0.03732050807568878</v>
      </c>
      <c r="BB124">
        <f t="shared" si="55"/>
        <v>0</v>
      </c>
      <c r="BC124">
        <f t="shared" si="56"/>
        <v>0</v>
      </c>
      <c r="BD124">
        <f t="shared" si="57"/>
        <v>0</v>
      </c>
      <c r="BE124">
        <f t="shared" si="58"/>
        <v>0</v>
      </c>
      <c r="BF124">
        <f t="shared" si="60"/>
        <v>0</v>
      </c>
      <c r="BG124">
        <f t="shared" si="59"/>
        <v>1</v>
      </c>
    </row>
    <row r="125" spans="1:59" ht="13.5" thickBot="1">
      <c r="A125" s="102"/>
      <c r="B125" s="7"/>
      <c r="C125" s="126"/>
      <c r="D125" s="126"/>
      <c r="E125" s="144"/>
      <c r="F125" s="165"/>
      <c r="G125" s="14"/>
      <c r="H125" s="13"/>
      <c r="I125" s="7"/>
      <c r="J125" s="7"/>
      <c r="K125" s="2"/>
      <c r="L125" s="91"/>
      <c r="M125" s="3"/>
      <c r="N125" s="3"/>
      <c r="O125" s="3"/>
      <c r="AC125" s="268" t="s">
        <v>114</v>
      </c>
      <c r="AD125" s="356">
        <f>(1-AD97)^0.4532</f>
        <v>1</v>
      </c>
      <c r="AE125" s="5"/>
      <c r="AF125" s="5">
        <v>11</v>
      </c>
      <c r="AG125" s="5"/>
      <c r="AH125" s="5"/>
      <c r="AI125" s="5"/>
      <c r="AJ125" s="5"/>
      <c r="AK125" s="266"/>
      <c r="AS125" s="232"/>
      <c r="AY125">
        <f t="shared" si="52"/>
        <v>1</v>
      </c>
      <c r="AZ125">
        <f t="shared" si="53"/>
        <v>0.01866025403784439</v>
      </c>
      <c r="BA125">
        <f t="shared" si="54"/>
        <v>-0.03732050807568878</v>
      </c>
      <c r="BB125">
        <f t="shared" si="55"/>
        <v>0</v>
      </c>
      <c r="BC125">
        <f t="shared" si="56"/>
        <v>0</v>
      </c>
      <c r="BD125">
        <f t="shared" si="57"/>
        <v>0</v>
      </c>
      <c r="BE125">
        <f t="shared" si="58"/>
        <v>0</v>
      </c>
      <c r="BF125">
        <f t="shared" si="60"/>
        <v>0</v>
      </c>
      <c r="BG125">
        <f t="shared" si="59"/>
        <v>1</v>
      </c>
    </row>
    <row r="126" spans="1:59" ht="21" thickBot="1">
      <c r="A126" s="424" t="s">
        <v>245</v>
      </c>
      <c r="B126" s="120"/>
      <c r="C126" s="168"/>
      <c r="D126" s="169"/>
      <c r="E126" s="169"/>
      <c r="F126" s="170"/>
      <c r="G126" s="112" t="s">
        <v>140</v>
      </c>
      <c r="H126" s="242">
        <f>C99</f>
        <v>1</v>
      </c>
      <c r="K126" s="90"/>
      <c r="L126" s="3"/>
      <c r="M126" s="3"/>
      <c r="N126" s="3"/>
      <c r="O126" s="3"/>
      <c r="R126" s="579" t="s">
        <v>5</v>
      </c>
      <c r="S126" s="580"/>
      <c r="T126" s="579" t="s">
        <v>317</v>
      </c>
      <c r="U126" s="580"/>
      <c r="AC126" s="360" t="s">
        <v>115</v>
      </c>
      <c r="AD126" s="356" t="e">
        <f>AD119/(AD120+AD119)</f>
        <v>#DIV/0!</v>
      </c>
      <c r="AE126" s="5"/>
      <c r="AF126" s="5">
        <v>9</v>
      </c>
      <c r="AG126" s="5"/>
      <c r="AH126" s="5"/>
      <c r="AI126" s="5"/>
      <c r="AJ126" s="5"/>
      <c r="AK126" s="266"/>
      <c r="AS126" s="232"/>
      <c r="AY126">
        <f t="shared" si="52"/>
        <v>1</v>
      </c>
      <c r="AZ126">
        <f t="shared" si="53"/>
        <v>0.01866025403784439</v>
      </c>
      <c r="BA126">
        <f t="shared" si="54"/>
        <v>-0.03732050807568878</v>
      </c>
      <c r="BB126">
        <f t="shared" si="55"/>
        <v>0</v>
      </c>
      <c r="BC126">
        <f t="shared" si="56"/>
        <v>0</v>
      </c>
      <c r="BD126">
        <f t="shared" si="57"/>
        <v>0</v>
      </c>
      <c r="BE126">
        <f t="shared" si="58"/>
        <v>0</v>
      </c>
      <c r="BF126">
        <f t="shared" si="60"/>
        <v>0</v>
      </c>
      <c r="BG126">
        <f t="shared" si="59"/>
        <v>1</v>
      </c>
    </row>
    <row r="127" spans="1:59" ht="34.5">
      <c r="A127" s="123" t="str">
        <f>IF(B129&gt;14,"BEWARE - MILL TOO LONG"," ")</f>
        <v> </v>
      </c>
      <c r="B127" s="106"/>
      <c r="C127" s="147" t="s">
        <v>142</v>
      </c>
      <c r="D127" s="171"/>
      <c r="E127" s="172" t="s">
        <v>143</v>
      </c>
      <c r="F127" s="173">
        <f>F124</f>
        <v>0</v>
      </c>
      <c r="G127" s="111" t="s">
        <v>144</v>
      </c>
      <c r="H127" s="80" t="s">
        <v>145</v>
      </c>
      <c r="I127" s="81" t="s">
        <v>146</v>
      </c>
      <c r="J127" s="4"/>
      <c r="K127" s="3"/>
      <c r="L127" s="3"/>
      <c r="M127" s="3"/>
      <c r="N127" s="3"/>
      <c r="O127" s="3"/>
      <c r="R127" s="581" t="s">
        <v>501</v>
      </c>
      <c r="S127" s="582" t="s">
        <v>142</v>
      </c>
      <c r="T127" s="581" t="s">
        <v>501</v>
      </c>
      <c r="U127" s="582" t="s">
        <v>142</v>
      </c>
      <c r="AC127" s="360" t="s">
        <v>117</v>
      </c>
      <c r="AD127" s="349">
        <f>B132</f>
        <v>0.7</v>
      </c>
      <c r="AE127" s="5" t="s">
        <v>118</v>
      </c>
      <c r="AF127" s="5"/>
      <c r="AG127" s="5"/>
      <c r="AH127" s="5"/>
      <c r="AI127" s="5"/>
      <c r="AJ127" s="5"/>
      <c r="AK127" s="266"/>
      <c r="AS127" s="232"/>
      <c r="AY127">
        <f t="shared" si="52"/>
        <v>1</v>
      </c>
      <c r="AZ127">
        <f t="shared" si="53"/>
        <v>0.01866025403784439</v>
      </c>
      <c r="BA127">
        <f t="shared" si="54"/>
        <v>-0.03732050807568878</v>
      </c>
      <c r="BB127">
        <f t="shared" si="55"/>
        <v>0</v>
      </c>
      <c r="BC127">
        <f t="shared" si="56"/>
        <v>0</v>
      </c>
      <c r="BD127">
        <f t="shared" si="57"/>
        <v>0</v>
      </c>
      <c r="BE127">
        <f t="shared" si="58"/>
        <v>0</v>
      </c>
      <c r="BF127">
        <f t="shared" si="60"/>
        <v>0</v>
      </c>
      <c r="BG127">
        <f t="shared" si="59"/>
        <v>1</v>
      </c>
    </row>
    <row r="128" spans="1:59" ht="12.75">
      <c r="A128" s="35" t="s">
        <v>246</v>
      </c>
      <c r="B128" s="436"/>
      <c r="C128" s="473">
        <f>B128*3.2808</f>
        <v>0</v>
      </c>
      <c r="D128" s="125"/>
      <c r="E128" s="134" t="s">
        <v>160</v>
      </c>
      <c r="F128" s="135">
        <f>IF(B128&gt;0,B128-2*B130,)</f>
        <v>0</v>
      </c>
      <c r="G128" s="333">
        <v>1.5</v>
      </c>
      <c r="H128" s="87">
        <f>IF(H126&gt;0,ROUNDDOWN(((($F$124/$H$126)/($G$128*N121))^(1/(O121+1)))*2,0)/2,)</f>
        <v>0</v>
      </c>
      <c r="I128" s="88">
        <f>IF(H126&gt;0,I129+0.5,)</f>
        <v>0.5</v>
      </c>
      <c r="J128" s="4"/>
      <c r="K128" s="3"/>
      <c r="L128" s="3"/>
      <c r="M128" s="3"/>
      <c r="N128" s="3"/>
      <c r="O128" s="3"/>
      <c r="R128" s="583">
        <f>S128/3.2808</f>
        <v>1.21921482565228</v>
      </c>
      <c r="S128" s="584">
        <v>4</v>
      </c>
      <c r="T128" s="583">
        <f>U128/3.2808</f>
        <v>7.315288953913679</v>
      </c>
      <c r="U128" s="584">
        <v>24</v>
      </c>
      <c r="AC128" s="360" t="s">
        <v>119</v>
      </c>
      <c r="AD128" s="356">
        <f>IF(AD127&gt;0.35*(3.364-AD97),AD127,0.35*(3.364-AD97))</f>
        <v>1.1773999999999998</v>
      </c>
      <c r="AE128" s="5"/>
      <c r="AF128" s="5">
        <v>2</v>
      </c>
      <c r="AG128" s="5"/>
      <c r="AH128" s="5"/>
      <c r="AI128" s="5"/>
      <c r="AJ128" s="5"/>
      <c r="AK128" s="266"/>
      <c r="AS128" s="232"/>
      <c r="AY128">
        <f t="shared" si="52"/>
        <v>1</v>
      </c>
      <c r="AZ128">
        <f t="shared" si="53"/>
        <v>0.01866025403784439</v>
      </c>
      <c r="BA128">
        <f t="shared" si="54"/>
        <v>-0.03732050807568878</v>
      </c>
      <c r="BB128">
        <f t="shared" si="55"/>
        <v>0</v>
      </c>
      <c r="BC128">
        <f t="shared" si="56"/>
        <v>0</v>
      </c>
      <c r="BD128">
        <f t="shared" si="57"/>
        <v>0</v>
      </c>
      <c r="BE128">
        <f t="shared" si="58"/>
        <v>0</v>
      </c>
      <c r="BF128">
        <f t="shared" si="60"/>
        <v>0</v>
      </c>
      <c r="BG128">
        <f t="shared" si="59"/>
        <v>1</v>
      </c>
    </row>
    <row r="129" spans="1:59" ht="13.5" thickBot="1">
      <c r="A129" s="35" t="s">
        <v>247</v>
      </c>
      <c r="B129" s="436"/>
      <c r="C129" s="473">
        <f>B129*3.2808</f>
        <v>0</v>
      </c>
      <c r="D129" s="125"/>
      <c r="E129" s="127" t="s">
        <v>154</v>
      </c>
      <c r="F129" s="132">
        <f>IF(B128&gt;0,B129/B128,)</f>
        <v>0</v>
      </c>
      <c r="G129" s="372" t="s">
        <v>248</v>
      </c>
      <c r="H129" s="87">
        <f>IF(H126&gt;0,ROUNDUP(((($F$124/$H$126)/($G$128*N121))^(1/(O121+1)))*2,0)/2,)</f>
        <v>0</v>
      </c>
      <c r="I129" s="89">
        <f>ROUNDUP(H129*G128*2,0)/2</f>
        <v>0</v>
      </c>
      <c r="J129" s="4"/>
      <c r="K129" s="3"/>
      <c r="L129" s="3"/>
      <c r="M129" s="3"/>
      <c r="N129" s="3"/>
      <c r="O129" s="3"/>
      <c r="R129" s="583">
        <f aca="true" t="shared" si="61" ref="R129:R138">S129/3.2808</f>
        <v>1.8288222384784198</v>
      </c>
      <c r="S129" s="584">
        <v>6</v>
      </c>
      <c r="T129" s="583">
        <f aca="true" t="shared" si="62" ref="T129:T138">U129/3.2808</f>
        <v>7.924896366739819</v>
      </c>
      <c r="U129" s="584">
        <v>26</v>
      </c>
      <c r="AC129" s="360" t="s">
        <v>120</v>
      </c>
      <c r="AD129" s="356">
        <f>PI()/2-(AD130-PI()/2)*((0.3386+0.1041*AD127)+(1.54-2.5673*AD127)*AD97)</f>
        <v>0.23846511427391537</v>
      </c>
      <c r="AE129" s="5"/>
      <c r="AF129" s="5">
        <v>5</v>
      </c>
      <c r="AG129" s="5"/>
      <c r="AH129" s="5"/>
      <c r="AI129" s="5"/>
      <c r="AJ129" s="5"/>
      <c r="AK129" s="266"/>
      <c r="AS129" s="232"/>
      <c r="AY129">
        <f t="shared" si="52"/>
        <v>1</v>
      </c>
      <c r="AZ129">
        <f t="shared" si="53"/>
        <v>0.01866025403784439</v>
      </c>
      <c r="BA129">
        <f t="shared" si="54"/>
        <v>-0.03732050807568878</v>
      </c>
      <c r="BB129">
        <f t="shared" si="55"/>
        <v>0</v>
      </c>
      <c r="BC129">
        <f t="shared" si="56"/>
        <v>0</v>
      </c>
      <c r="BD129">
        <f t="shared" si="57"/>
        <v>0</v>
      </c>
      <c r="BE129">
        <f t="shared" si="58"/>
        <v>0</v>
      </c>
      <c r="BF129">
        <f t="shared" si="60"/>
        <v>0</v>
      </c>
      <c r="BG129">
        <f t="shared" si="59"/>
        <v>1</v>
      </c>
    </row>
    <row r="130" spans="1:59" ht="13.5" thickBot="1">
      <c r="A130" s="35" t="s">
        <v>249</v>
      </c>
      <c r="B130" s="437">
        <v>0.1</v>
      </c>
      <c r="C130" s="125"/>
      <c r="D130" s="125"/>
      <c r="E130" s="125"/>
      <c r="F130" s="133"/>
      <c r="G130" s="269" t="s">
        <v>250</v>
      </c>
      <c r="H130" s="370"/>
      <c r="I130" s="371"/>
      <c r="J130" s="4"/>
      <c r="K130" s="3"/>
      <c r="L130" s="3"/>
      <c r="M130" s="3"/>
      <c r="N130" s="3"/>
      <c r="O130" s="3"/>
      <c r="R130" s="583">
        <f t="shared" si="61"/>
        <v>2.43842965130456</v>
      </c>
      <c r="S130" s="584">
        <v>8</v>
      </c>
      <c r="T130" s="583">
        <f t="shared" si="62"/>
        <v>8.53450377956596</v>
      </c>
      <c r="U130" s="584">
        <v>28</v>
      </c>
      <c r="AC130" s="360" t="s">
        <v>122</v>
      </c>
      <c r="AD130" s="356">
        <f>2.5307*(1.2796-AD97)*(1-EXP(-19.42*(AD128-AD127)))+PI()/2</f>
        <v>4.808775310732926</v>
      </c>
      <c r="AE130" s="5"/>
      <c r="AF130" s="5">
        <v>3</v>
      </c>
      <c r="AG130" s="5"/>
      <c r="AH130" s="5"/>
      <c r="AI130" s="5"/>
      <c r="AJ130" s="5"/>
      <c r="AK130" s="266"/>
      <c r="AS130" s="232"/>
      <c r="AY130">
        <f t="shared" si="52"/>
        <v>1</v>
      </c>
      <c r="AZ130">
        <f t="shared" si="53"/>
        <v>0.01866025403784439</v>
      </c>
      <c r="BA130">
        <f t="shared" si="54"/>
        <v>-0.03732050807568878</v>
      </c>
      <c r="BB130">
        <f t="shared" si="55"/>
        <v>0</v>
      </c>
      <c r="BC130">
        <f t="shared" si="56"/>
        <v>0</v>
      </c>
      <c r="BD130">
        <f t="shared" si="57"/>
        <v>0</v>
      </c>
      <c r="BE130">
        <f t="shared" si="58"/>
        <v>0</v>
      </c>
      <c r="BF130">
        <f t="shared" si="60"/>
        <v>0</v>
      </c>
      <c r="BG130">
        <f t="shared" si="59"/>
        <v>1</v>
      </c>
    </row>
    <row r="131" spans="1:59" ht="12.75">
      <c r="A131" s="35" t="s">
        <v>251</v>
      </c>
      <c r="B131" s="386"/>
      <c r="C131" s="125"/>
      <c r="D131" s="125"/>
      <c r="E131" s="125"/>
      <c r="F131" s="133"/>
      <c r="G131" s="5"/>
      <c r="H131" s="5"/>
      <c r="I131" s="5"/>
      <c r="J131" s="4"/>
      <c r="K131" s="3"/>
      <c r="L131" s="3"/>
      <c r="M131" s="3"/>
      <c r="N131" s="3"/>
      <c r="O131" s="3"/>
      <c r="R131" s="583">
        <f t="shared" si="61"/>
        <v>3.0480370641306997</v>
      </c>
      <c r="S131" s="584">
        <v>10</v>
      </c>
      <c r="T131" s="583">
        <f t="shared" si="62"/>
        <v>9.1441111923921</v>
      </c>
      <c r="U131" s="584">
        <v>30</v>
      </c>
      <c r="AC131" s="360" t="s">
        <v>123</v>
      </c>
      <c r="AD131" s="356">
        <f>IF($B$18=2,PI()+ASIN(AD113/AD115),AD130)</f>
        <v>4.808775310732926</v>
      </c>
      <c r="AE131" s="5"/>
      <c r="AF131" s="5">
        <v>4</v>
      </c>
      <c r="AG131" s="5"/>
      <c r="AH131" s="5"/>
      <c r="AI131" s="5"/>
      <c r="AJ131" s="5"/>
      <c r="AK131" s="266"/>
      <c r="AS131" s="232"/>
      <c r="AY131">
        <f t="shared" si="52"/>
        <v>1</v>
      </c>
      <c r="AZ131">
        <f t="shared" si="53"/>
        <v>0.01866025403784439</v>
      </c>
      <c r="BA131">
        <f t="shared" si="54"/>
        <v>-0.03732050807568878</v>
      </c>
      <c r="BB131">
        <f t="shared" si="55"/>
        <v>0</v>
      </c>
      <c r="BC131">
        <f t="shared" si="56"/>
        <v>0</v>
      </c>
      <c r="BD131">
        <f t="shared" si="57"/>
        <v>0</v>
      </c>
      <c r="BE131">
        <f t="shared" si="58"/>
        <v>0</v>
      </c>
      <c r="BF131">
        <f t="shared" si="60"/>
        <v>0</v>
      </c>
      <c r="BG131">
        <f t="shared" si="59"/>
        <v>1</v>
      </c>
    </row>
    <row r="132" spans="1:59" ht="12.75">
      <c r="A132" s="35" t="s">
        <v>164</v>
      </c>
      <c r="B132" s="461">
        <v>0.7</v>
      </c>
      <c r="C132" s="129"/>
      <c r="D132" s="125"/>
      <c r="E132" s="125"/>
      <c r="F132" s="133"/>
      <c r="G132" s="110" t="s">
        <v>161</v>
      </c>
      <c r="J132" s="4"/>
      <c r="K132" s="3"/>
      <c r="L132" s="3"/>
      <c r="R132" s="583">
        <f t="shared" si="61"/>
        <v>3.6576444769568397</v>
      </c>
      <c r="S132" s="584">
        <v>12</v>
      </c>
      <c r="T132" s="583">
        <f t="shared" si="62"/>
        <v>9.75371860521824</v>
      </c>
      <c r="U132" s="584">
        <v>32</v>
      </c>
      <c r="AC132" s="360" t="s">
        <v>80</v>
      </c>
      <c r="AD132" s="356" t="e">
        <f>(AD97*AD133*(1-AD94+AD94*AD121*AD118)+AD96*(AD134-AD133)*(1-AD94)+AD97*AD94*AD121*(1-AD118))/AD97</f>
        <v>#DIV/0!</v>
      </c>
      <c r="AE132" s="5"/>
      <c r="AF132" s="5">
        <v>1</v>
      </c>
      <c r="AG132" s="5"/>
      <c r="AH132" s="5"/>
      <c r="AI132" s="5"/>
      <c r="AJ132" s="5"/>
      <c r="AK132" s="266"/>
      <c r="AS132" s="232"/>
      <c r="AY132">
        <f t="shared" si="52"/>
        <v>1</v>
      </c>
      <c r="AZ132">
        <f t="shared" si="53"/>
        <v>0.01866025403784439</v>
      </c>
      <c r="BA132">
        <f t="shared" si="54"/>
        <v>-0.03732050807568878</v>
      </c>
      <c r="BB132">
        <f t="shared" si="55"/>
        <v>0</v>
      </c>
      <c r="BC132">
        <f t="shared" si="56"/>
        <v>0</v>
      </c>
      <c r="BD132">
        <f t="shared" si="57"/>
        <v>0</v>
      </c>
      <c r="BE132">
        <f t="shared" si="58"/>
        <v>0</v>
      </c>
      <c r="BF132">
        <f t="shared" si="60"/>
        <v>0</v>
      </c>
      <c r="BG132">
        <f t="shared" si="59"/>
        <v>1</v>
      </c>
    </row>
    <row r="133" spans="1:59" ht="12.75">
      <c r="A133" s="35" t="s">
        <v>252</v>
      </c>
      <c r="B133" s="125"/>
      <c r="C133" s="5"/>
      <c r="D133" s="125"/>
      <c r="E133" s="127" t="s">
        <v>163</v>
      </c>
      <c r="F133" s="136">
        <f>IF(B128&gt;0,42.3/F128^0.5,)</f>
        <v>0</v>
      </c>
      <c r="G133" s="13"/>
      <c r="H133" s="13"/>
      <c r="J133" s="4"/>
      <c r="K133" s="3"/>
      <c r="R133" s="583">
        <f t="shared" si="61"/>
        <v>4.26725188978298</v>
      </c>
      <c r="S133" s="584">
        <v>14</v>
      </c>
      <c r="T133" s="583">
        <f t="shared" si="62"/>
        <v>10.36332601804438</v>
      </c>
      <c r="U133" s="584">
        <v>34</v>
      </c>
      <c r="AC133" s="360" t="s">
        <v>128</v>
      </c>
      <c r="AD133" s="349">
        <f>AE119</f>
        <v>0</v>
      </c>
      <c r="AE133" s="5"/>
      <c r="AF133" s="5"/>
      <c r="AG133" s="5"/>
      <c r="AH133" s="5"/>
      <c r="AI133" s="5"/>
      <c r="AJ133" s="5"/>
      <c r="AK133" s="266"/>
      <c r="AS133" s="232"/>
      <c r="AY133">
        <f aca="true" t="shared" si="63" ref="AY133:AY151">IF(BA132-($AZ$1/4)&gt;0,AY132+1,AY132)</f>
        <v>1</v>
      </c>
      <c r="AZ133">
        <f t="shared" si="53"/>
        <v>0.01866025403784439</v>
      </c>
      <c r="BA133">
        <f t="shared" si="54"/>
        <v>-0.03732050807568878</v>
      </c>
      <c r="BB133">
        <f t="shared" si="55"/>
        <v>0</v>
      </c>
      <c r="BC133">
        <f t="shared" si="56"/>
        <v>0</v>
      </c>
      <c r="BD133">
        <f t="shared" si="57"/>
        <v>0</v>
      </c>
      <c r="BE133">
        <f t="shared" si="58"/>
        <v>0</v>
      </c>
      <c r="BF133">
        <f t="shared" si="60"/>
        <v>0</v>
      </c>
      <c r="BG133">
        <f t="shared" si="59"/>
        <v>1</v>
      </c>
    </row>
    <row r="134" spans="1:59" ht="12.75">
      <c r="A134" s="34"/>
      <c r="B134" s="11"/>
      <c r="C134" s="137"/>
      <c r="D134" s="125"/>
      <c r="E134" s="127" t="s">
        <v>165</v>
      </c>
      <c r="F134" s="136">
        <f>F133*B132</f>
        <v>0</v>
      </c>
      <c r="G134" s="13"/>
      <c r="H134" s="13"/>
      <c r="J134" s="4"/>
      <c r="K134" s="3"/>
      <c r="R134" s="583">
        <f t="shared" si="61"/>
        <v>4.87685930260912</v>
      </c>
      <c r="S134" s="584">
        <v>16</v>
      </c>
      <c r="T134" s="583">
        <f t="shared" si="62"/>
        <v>10.972933430870519</v>
      </c>
      <c r="U134" s="584">
        <v>36</v>
      </c>
      <c r="AC134" s="360" t="s">
        <v>130</v>
      </c>
      <c r="AD134" s="348">
        <v>7.84</v>
      </c>
      <c r="AE134" s="5"/>
      <c r="AF134" s="5"/>
      <c r="AG134" s="5"/>
      <c r="AH134" s="5"/>
      <c r="AI134" s="5"/>
      <c r="AJ134" s="5"/>
      <c r="AK134" s="266"/>
      <c r="AS134" s="232"/>
      <c r="AY134">
        <f t="shared" si="63"/>
        <v>1</v>
      </c>
      <c r="AZ134">
        <f t="shared" si="53"/>
        <v>0.01866025403784439</v>
      </c>
      <c r="BA134">
        <f t="shared" si="54"/>
        <v>-0.03732050807568878</v>
      </c>
      <c r="BB134">
        <f t="shared" si="55"/>
        <v>0</v>
      </c>
      <c r="BC134">
        <f t="shared" si="56"/>
        <v>0</v>
      </c>
      <c r="BD134">
        <f t="shared" si="57"/>
        <v>0</v>
      </c>
      <c r="BE134">
        <f t="shared" si="58"/>
        <v>0</v>
      </c>
      <c r="BF134">
        <f t="shared" si="60"/>
        <v>0</v>
      </c>
      <c r="BG134">
        <f t="shared" si="59"/>
        <v>1</v>
      </c>
    </row>
    <row r="135" spans="1:59" ht="12.75">
      <c r="A135" s="35" t="s">
        <v>167</v>
      </c>
      <c r="B135" s="456"/>
      <c r="C135" s="125"/>
      <c r="D135" s="125"/>
      <c r="E135" s="125"/>
      <c r="F135" s="133"/>
      <c r="G135" s="13"/>
      <c r="H135" s="13"/>
      <c r="I135" s="4"/>
      <c r="J135" s="4"/>
      <c r="K135" s="3"/>
      <c r="R135" s="583">
        <f t="shared" si="61"/>
        <v>5.4864667154352595</v>
      </c>
      <c r="S135" s="584">
        <v>18</v>
      </c>
      <c r="T135" s="583">
        <f t="shared" si="62"/>
        <v>11.582540843696659</v>
      </c>
      <c r="U135" s="584">
        <v>38</v>
      </c>
      <c r="AC135" s="360" t="s">
        <v>132</v>
      </c>
      <c r="AD135" s="349">
        <f>$F$41</f>
        <v>0</v>
      </c>
      <c r="AE135" s="5"/>
      <c r="AF135" s="5"/>
      <c r="AG135" s="5"/>
      <c r="AH135" s="5"/>
      <c r="AI135" s="5"/>
      <c r="AJ135" s="5"/>
      <c r="AK135" s="266"/>
      <c r="AS135" s="232"/>
      <c r="AY135">
        <f t="shared" si="63"/>
        <v>1</v>
      </c>
      <c r="AZ135">
        <f aca="true" t="shared" si="64" ref="AZ135:AZ151">(AY135/100-0.005)/TAN($AZ$3*PI()/180)</f>
        <v>0.01866025403784439</v>
      </c>
      <c r="BA135">
        <f aca="true" t="shared" si="65" ref="BA135:BA151">$AZ$1-2*AZ135</f>
        <v>-0.03732050807568878</v>
      </c>
      <c r="BB135">
        <f aca="true" t="shared" si="66" ref="BB135:BB151">IF($AZ$4/BA135&lt;0.5,$AZ$4/BA135,0.5)</f>
        <v>0</v>
      </c>
      <c r="BC135">
        <f aca="true" t="shared" si="67" ref="BC135:BC151">IF(BF135+BG135=2,3.1316*BB135^4-1.453*BB135^3+0.5868*BB135^2-1.3257*BB135+0.5,0)</f>
        <v>0</v>
      </c>
      <c r="BD135">
        <f aca="true" t="shared" si="68" ref="BD135:BD151">IF(BF135+BG135=2,(PI()*BA135^2/4),0)*0.01</f>
        <v>0</v>
      </c>
      <c r="BE135">
        <f aca="true" t="shared" si="69" ref="BE135:BE151">BD135*BC135</f>
        <v>0</v>
      </c>
      <c r="BF135">
        <f t="shared" si="60"/>
        <v>0</v>
      </c>
      <c r="BG135">
        <f aca="true" t="shared" si="70" ref="BG135:BG151">IF(BB135=0.5,0,1)</f>
        <v>1</v>
      </c>
    </row>
    <row r="136" spans="1:59" ht="12.75">
      <c r="A136" s="35" t="s">
        <v>253</v>
      </c>
      <c r="B136" s="456"/>
      <c r="C136" s="129"/>
      <c r="D136" s="125"/>
      <c r="E136" s="134" t="s">
        <v>168</v>
      </c>
      <c r="F136" s="132">
        <f>IF(B104&gt;0,B104/((1-B135)*B104+B135),)</f>
        <v>0</v>
      </c>
      <c r="G136" s="13"/>
      <c r="H136" s="13"/>
      <c r="I136" s="4"/>
      <c r="J136" s="4"/>
      <c r="K136" s="3"/>
      <c r="R136" s="583">
        <f t="shared" si="61"/>
        <v>6.0960741282613995</v>
      </c>
      <c r="S136" s="584">
        <v>20</v>
      </c>
      <c r="T136" s="583">
        <f t="shared" si="62"/>
        <v>12.192148256522799</v>
      </c>
      <c r="U136" s="584">
        <v>40</v>
      </c>
      <c r="AC136" s="360"/>
      <c r="AD136" s="5"/>
      <c r="AE136" s="5"/>
      <c r="AF136" s="5"/>
      <c r="AG136" s="5"/>
      <c r="AH136" s="5"/>
      <c r="AI136" s="5"/>
      <c r="AJ136" s="5"/>
      <c r="AK136" s="266"/>
      <c r="AS136" s="232"/>
      <c r="AY136">
        <f t="shared" si="63"/>
        <v>1</v>
      </c>
      <c r="AZ136">
        <f t="shared" si="64"/>
        <v>0.01866025403784439</v>
      </c>
      <c r="BA136">
        <f t="shared" si="65"/>
        <v>-0.03732050807568878</v>
      </c>
      <c r="BB136">
        <f t="shared" si="66"/>
        <v>0</v>
      </c>
      <c r="BC136">
        <f t="shared" si="67"/>
        <v>0</v>
      </c>
      <c r="BD136">
        <f t="shared" si="68"/>
        <v>0</v>
      </c>
      <c r="BE136">
        <f t="shared" si="69"/>
        <v>0</v>
      </c>
      <c r="BF136">
        <f aca="true" t="shared" si="71" ref="BF136:BF151">AY136-AY135</f>
        <v>0</v>
      </c>
      <c r="BG136">
        <f t="shared" si="70"/>
        <v>1</v>
      </c>
    </row>
    <row r="137" spans="1:59" ht="12.75">
      <c r="A137" s="35" t="s">
        <v>254</v>
      </c>
      <c r="B137" s="456"/>
      <c r="C137" s="129"/>
      <c r="D137" s="125"/>
      <c r="E137" s="125"/>
      <c r="F137" s="133"/>
      <c r="I137" s="4"/>
      <c r="J137" s="4"/>
      <c r="K137" s="3"/>
      <c r="R137" s="583">
        <f t="shared" si="61"/>
        <v>6.705681541087539</v>
      </c>
      <c r="S137" s="584">
        <v>22</v>
      </c>
      <c r="T137" s="583">
        <f t="shared" si="62"/>
        <v>12.801755669348939</v>
      </c>
      <c r="U137" s="584">
        <v>42</v>
      </c>
      <c r="AC137" s="360"/>
      <c r="AD137" s="5"/>
      <c r="AE137" s="5"/>
      <c r="AF137" s="5"/>
      <c r="AG137" s="5"/>
      <c r="AH137" s="5"/>
      <c r="AI137" s="5"/>
      <c r="AJ137" s="5"/>
      <c r="AK137" s="266"/>
      <c r="AS137" s="232"/>
      <c r="AY137">
        <f t="shared" si="63"/>
        <v>1</v>
      </c>
      <c r="AZ137">
        <f t="shared" si="64"/>
        <v>0.01866025403784439</v>
      </c>
      <c r="BA137">
        <f t="shared" si="65"/>
        <v>-0.03732050807568878</v>
      </c>
      <c r="BB137">
        <f t="shared" si="66"/>
        <v>0</v>
      </c>
      <c r="BC137">
        <f t="shared" si="67"/>
        <v>0</v>
      </c>
      <c r="BD137">
        <f t="shared" si="68"/>
        <v>0</v>
      </c>
      <c r="BE137">
        <f t="shared" si="69"/>
        <v>0</v>
      </c>
      <c r="BF137">
        <f t="shared" si="71"/>
        <v>0</v>
      </c>
      <c r="BG137">
        <f t="shared" si="70"/>
        <v>1</v>
      </c>
    </row>
    <row r="138" spans="1:59" ht="13.5" thickBot="1">
      <c r="A138" s="35" t="s">
        <v>255</v>
      </c>
      <c r="B138" s="431"/>
      <c r="C138" s="129"/>
      <c r="D138" s="5"/>
      <c r="E138" s="134" t="s">
        <v>172</v>
      </c>
      <c r="F138" s="132">
        <f>(PI()*(F128^2)*B129/4)*B137</f>
        <v>0</v>
      </c>
      <c r="G138" s="409" t="s">
        <v>256</v>
      </c>
      <c r="H138" s="410"/>
      <c r="I138" s="4"/>
      <c r="J138" s="4"/>
      <c r="K138" s="3"/>
      <c r="N138" s="399" t="s">
        <v>257</v>
      </c>
      <c r="O138" s="312" t="s">
        <v>258</v>
      </c>
      <c r="P138" s="248" t="s">
        <v>259</v>
      </c>
      <c r="R138" s="585">
        <f t="shared" si="61"/>
        <v>7.315288953913679</v>
      </c>
      <c r="S138" s="586">
        <v>24</v>
      </c>
      <c r="T138" s="585">
        <f t="shared" si="62"/>
        <v>13.411363082175079</v>
      </c>
      <c r="U138" s="586">
        <v>44</v>
      </c>
      <c r="AC138" s="366"/>
      <c r="AD138" s="26"/>
      <c r="AE138" s="26"/>
      <c r="AF138" s="26"/>
      <c r="AG138" s="26"/>
      <c r="AH138" s="26"/>
      <c r="AI138" s="26"/>
      <c r="AJ138" s="26"/>
      <c r="AK138" s="270"/>
      <c r="AS138" s="232"/>
      <c r="AY138">
        <f t="shared" si="63"/>
        <v>1</v>
      </c>
      <c r="AZ138">
        <f t="shared" si="64"/>
        <v>0.01866025403784439</v>
      </c>
      <c r="BA138">
        <f t="shared" si="65"/>
        <v>-0.03732050807568878</v>
      </c>
      <c r="BB138">
        <f t="shared" si="66"/>
        <v>0</v>
      </c>
      <c r="BC138">
        <f t="shared" si="67"/>
        <v>0</v>
      </c>
      <c r="BD138">
        <f t="shared" si="68"/>
        <v>0</v>
      </c>
      <c r="BE138">
        <f t="shared" si="69"/>
        <v>0</v>
      </c>
      <c r="BF138">
        <f t="shared" si="71"/>
        <v>0</v>
      </c>
      <c r="BG138">
        <f t="shared" si="70"/>
        <v>1</v>
      </c>
    </row>
    <row r="139" spans="1:59" ht="12.75">
      <c r="A139" s="34"/>
      <c r="B139" s="5"/>
      <c r="C139" s="5"/>
      <c r="D139" s="125"/>
      <c r="E139" s="287" t="s">
        <v>260</v>
      </c>
      <c r="F139" s="429">
        <v>4.6</v>
      </c>
      <c r="G139" s="411">
        <f>IF(B132&gt;0,25.4*(E108/N139)^0.5*(B104*B107/(B132*100)*(3.281*F128)^0.5)^0.34,)</f>
        <v>0</v>
      </c>
      <c r="H139" s="256"/>
      <c r="I139" s="4"/>
      <c r="J139" s="4"/>
      <c r="K139" s="3"/>
      <c r="N139" s="252">
        <f>IF(B111=1,IF(B113=2,350,330),335)</f>
        <v>335</v>
      </c>
      <c r="O139" s="329">
        <f>(1-(0.9/(2^(9-B137*10))))</f>
        <v>0.9982421875</v>
      </c>
      <c r="P139" s="400">
        <f>1.102*((B138-12.5*F129)/50.8)</f>
        <v>0</v>
      </c>
      <c r="AS139" s="232"/>
      <c r="AY139">
        <f t="shared" si="63"/>
        <v>1</v>
      </c>
      <c r="AZ139">
        <f t="shared" si="64"/>
        <v>0.01866025403784439</v>
      </c>
      <c r="BA139">
        <f t="shared" si="65"/>
        <v>-0.03732050807568878</v>
      </c>
      <c r="BB139">
        <f t="shared" si="66"/>
        <v>0</v>
      </c>
      <c r="BC139">
        <f t="shared" si="67"/>
        <v>0</v>
      </c>
      <c r="BD139">
        <f t="shared" si="68"/>
        <v>0</v>
      </c>
      <c r="BE139">
        <f t="shared" si="69"/>
        <v>0</v>
      </c>
      <c r="BF139">
        <f t="shared" si="71"/>
        <v>0</v>
      </c>
      <c r="BG139">
        <f t="shared" si="70"/>
        <v>1</v>
      </c>
    </row>
    <row r="140" spans="1:59" ht="12.75">
      <c r="A140" s="34"/>
      <c r="B140" s="114" t="s">
        <v>261</v>
      </c>
      <c r="C140" s="174" t="s">
        <v>262</v>
      </c>
      <c r="D140" s="125"/>
      <c r="E140" s="134" t="s">
        <v>263</v>
      </c>
      <c r="F140" s="175">
        <f>F138*F139</f>
        <v>0</v>
      </c>
      <c r="G140" s="13"/>
      <c r="H140" s="13"/>
      <c r="J140" s="4"/>
      <c r="K140" s="3"/>
      <c r="AS140" s="232"/>
      <c r="AY140">
        <f t="shared" si="63"/>
        <v>1</v>
      </c>
      <c r="AZ140">
        <f t="shared" si="64"/>
        <v>0.01866025403784439</v>
      </c>
      <c r="BA140">
        <f t="shared" si="65"/>
        <v>-0.03732050807568878</v>
      </c>
      <c r="BB140">
        <f t="shared" si="66"/>
        <v>0</v>
      </c>
      <c r="BC140">
        <f t="shared" si="67"/>
        <v>0</v>
      </c>
      <c r="BD140">
        <f t="shared" si="68"/>
        <v>0</v>
      </c>
      <c r="BE140">
        <f t="shared" si="69"/>
        <v>0</v>
      </c>
      <c r="BF140">
        <f t="shared" si="71"/>
        <v>0</v>
      </c>
      <c r="BG140">
        <f t="shared" si="70"/>
        <v>1</v>
      </c>
    </row>
    <row r="141" spans="1:59" ht="12.75">
      <c r="A141" s="48" t="s">
        <v>264</v>
      </c>
      <c r="B141" s="108">
        <f>IF(B108&gt;0,0.159*(B108-0.015)^0.34,)</f>
        <v>0</v>
      </c>
      <c r="C141" s="176">
        <f>IF(B103&gt;0,B141*F145/B103,)</f>
        <v>0</v>
      </c>
      <c r="D141" s="125"/>
      <c r="E141" s="134" t="s">
        <v>265</v>
      </c>
      <c r="F141" s="132">
        <f>IF((B111*B113)&gt;0,IF(B113=1,IF(B111=2,1.08,1.16),1),)</f>
        <v>0</v>
      </c>
      <c r="J141" s="4"/>
      <c r="K141" s="2"/>
      <c r="AS141" s="232"/>
      <c r="AY141">
        <f t="shared" si="63"/>
        <v>1</v>
      </c>
      <c r="AZ141">
        <f t="shared" si="64"/>
        <v>0.01866025403784439</v>
      </c>
      <c r="BA141">
        <f t="shared" si="65"/>
        <v>-0.03732050807568878</v>
      </c>
      <c r="BB141">
        <f t="shared" si="66"/>
        <v>0</v>
      </c>
      <c r="BC141">
        <f t="shared" si="67"/>
        <v>0</v>
      </c>
      <c r="BD141">
        <f t="shared" si="68"/>
        <v>0</v>
      </c>
      <c r="BE141">
        <f t="shared" si="69"/>
        <v>0</v>
      </c>
      <c r="BF141">
        <f t="shared" si="71"/>
        <v>0</v>
      </c>
      <c r="BG141">
        <f t="shared" si="70"/>
        <v>1</v>
      </c>
    </row>
    <row r="142" spans="1:59" ht="12.75">
      <c r="A142" s="48" t="s">
        <v>266</v>
      </c>
      <c r="B142" s="108">
        <f>IF(B108&gt;0,0.0118*(B108-0.015)^0.3,)</f>
        <v>0</v>
      </c>
      <c r="C142" s="176">
        <f>IF(B103&gt;0,B142*F145/B103,)</f>
        <v>0</v>
      </c>
      <c r="D142" s="125"/>
      <c r="E142" s="127" t="s">
        <v>267</v>
      </c>
      <c r="F142" s="136">
        <f>F141*(4.879*F128^0.3*(3.2-3*B137)*B132*O139+P139)</f>
        <v>0</v>
      </c>
      <c r="K142" s="2"/>
      <c r="AS142" s="232"/>
      <c r="AY142">
        <f t="shared" si="63"/>
        <v>1</v>
      </c>
      <c r="AZ142">
        <f t="shared" si="64"/>
        <v>0.01866025403784439</v>
      </c>
      <c r="BA142">
        <f t="shared" si="65"/>
        <v>-0.03732050807568878</v>
      </c>
      <c r="BB142">
        <f t="shared" si="66"/>
        <v>0</v>
      </c>
      <c r="BC142">
        <f t="shared" si="67"/>
        <v>0</v>
      </c>
      <c r="BD142">
        <f t="shared" si="68"/>
        <v>0</v>
      </c>
      <c r="BE142">
        <f t="shared" si="69"/>
        <v>0</v>
      </c>
      <c r="BF142">
        <f t="shared" si="71"/>
        <v>0</v>
      </c>
      <c r="BG142">
        <f t="shared" si="70"/>
        <v>1</v>
      </c>
    </row>
    <row r="143" spans="1:59" ht="12.75">
      <c r="A143" s="34"/>
      <c r="B143" s="5"/>
      <c r="C143" s="177"/>
      <c r="D143" s="125"/>
      <c r="E143" s="125"/>
      <c r="F143" s="133"/>
      <c r="G143" s="13"/>
      <c r="K143" s="2"/>
      <c r="AS143" s="232"/>
      <c r="AY143">
        <f t="shared" si="63"/>
        <v>1</v>
      </c>
      <c r="AZ143">
        <f t="shared" si="64"/>
        <v>0.01866025403784439</v>
      </c>
      <c r="BA143">
        <f t="shared" si="65"/>
        <v>-0.03732050807568878</v>
      </c>
      <c r="BB143">
        <f t="shared" si="66"/>
        <v>0</v>
      </c>
      <c r="BC143">
        <f t="shared" si="67"/>
        <v>0</v>
      </c>
      <c r="BD143">
        <f t="shared" si="68"/>
        <v>0</v>
      </c>
      <c r="BE143">
        <f t="shared" si="69"/>
        <v>0</v>
      </c>
      <c r="BF143">
        <f t="shared" si="71"/>
        <v>0</v>
      </c>
      <c r="BG143">
        <f t="shared" si="70"/>
        <v>1</v>
      </c>
    </row>
    <row r="144" spans="1:59" ht="12.75">
      <c r="A144" s="48"/>
      <c r="B144" s="118"/>
      <c r="C144" s="177"/>
      <c r="D144" s="125"/>
      <c r="E144" s="125"/>
      <c r="F144" s="133"/>
      <c r="G144" s="399" t="s">
        <v>268</v>
      </c>
      <c r="H144" s="401" t="s">
        <v>2</v>
      </c>
      <c r="I144" s="254" t="s">
        <v>269</v>
      </c>
      <c r="J144" s="255" t="s">
        <v>270</v>
      </c>
      <c r="K144" s="2"/>
      <c r="AS144" s="232"/>
      <c r="AY144">
        <f t="shared" si="63"/>
        <v>1</v>
      </c>
      <c r="AZ144">
        <f t="shared" si="64"/>
        <v>0.01866025403784439</v>
      </c>
      <c r="BA144">
        <f t="shared" si="65"/>
        <v>-0.03732050807568878</v>
      </c>
      <c r="BB144">
        <f t="shared" si="66"/>
        <v>0</v>
      </c>
      <c r="BC144">
        <f t="shared" si="67"/>
        <v>0</v>
      </c>
      <c r="BD144">
        <f t="shared" si="68"/>
        <v>0</v>
      </c>
      <c r="BE144">
        <f t="shared" si="69"/>
        <v>0</v>
      </c>
      <c r="BF144">
        <f t="shared" si="71"/>
        <v>0</v>
      </c>
      <c r="BG144">
        <f t="shared" si="70"/>
        <v>1</v>
      </c>
    </row>
    <row r="145" spans="1:59" ht="20.25">
      <c r="A145" s="34"/>
      <c r="B145" s="5"/>
      <c r="C145" s="125"/>
      <c r="D145" s="162"/>
      <c r="E145" s="178" t="s">
        <v>181</v>
      </c>
      <c r="F145" s="179">
        <f>ROUNDUP(F140*F142,-1)</f>
        <v>0</v>
      </c>
      <c r="G145" s="402">
        <f>IF(B113=1,1000*F140*0.235*F128*F134/1200,1000*F140*0.255*F128*F134/1470)</f>
        <v>0</v>
      </c>
      <c r="H145" s="403">
        <f>IF(F128&gt;0,AD109,)</f>
        <v>0</v>
      </c>
      <c r="I145" s="403">
        <f>F155</f>
        <v>0</v>
      </c>
      <c r="J145" s="404">
        <f>2.4475*(3.4596*F128^2.4969)*(0.0003*(B132*100)^1.5094)*(-20*B137^2+20.2*B137+0.1947)*B129</f>
        <v>0</v>
      </c>
      <c r="K145" s="2"/>
      <c r="AS145" s="232"/>
      <c r="AY145">
        <f t="shared" si="63"/>
        <v>1</v>
      </c>
      <c r="AZ145">
        <f t="shared" si="64"/>
        <v>0.01866025403784439</v>
      </c>
      <c r="BA145">
        <f t="shared" si="65"/>
        <v>-0.03732050807568878</v>
      </c>
      <c r="BB145">
        <f t="shared" si="66"/>
        <v>0</v>
      </c>
      <c r="BC145">
        <f t="shared" si="67"/>
        <v>0</v>
      </c>
      <c r="BD145">
        <f t="shared" si="68"/>
        <v>0</v>
      </c>
      <c r="BE145">
        <f t="shared" si="69"/>
        <v>0</v>
      </c>
      <c r="BF145">
        <f t="shared" si="71"/>
        <v>0</v>
      </c>
      <c r="BG145">
        <f t="shared" si="70"/>
        <v>1</v>
      </c>
    </row>
    <row r="146" spans="1:59" ht="20.25">
      <c r="A146" s="211"/>
      <c r="C146" s="125"/>
      <c r="D146" s="162"/>
      <c r="E146" s="163" t="s">
        <v>183</v>
      </c>
      <c r="F146" s="501">
        <f>ROUNDUP(J146,1)</f>
        <v>0</v>
      </c>
      <c r="I146" s="211" t="s">
        <v>184</v>
      </c>
      <c r="J146" s="6">
        <f>IF(F145&gt;0,F124/F145,)</f>
        <v>0</v>
      </c>
      <c r="K146" s="2"/>
      <c r="AS146" s="232"/>
      <c r="AY146">
        <f t="shared" si="63"/>
        <v>1</v>
      </c>
      <c r="AZ146">
        <f t="shared" si="64"/>
        <v>0.01866025403784439</v>
      </c>
      <c r="BA146">
        <f t="shared" si="65"/>
        <v>-0.03732050807568878</v>
      </c>
      <c r="BB146">
        <f t="shared" si="66"/>
        <v>0</v>
      </c>
      <c r="BC146">
        <f t="shared" si="67"/>
        <v>0</v>
      </c>
      <c r="BD146">
        <f t="shared" si="68"/>
        <v>0</v>
      </c>
      <c r="BE146">
        <f t="shared" si="69"/>
        <v>0</v>
      </c>
      <c r="BF146">
        <f t="shared" si="71"/>
        <v>0</v>
      </c>
      <c r="BG146">
        <f t="shared" si="70"/>
        <v>1</v>
      </c>
    </row>
    <row r="147" spans="1:59" ht="18">
      <c r="A147" s="35"/>
      <c r="B147" s="6"/>
      <c r="C147" s="5"/>
      <c r="D147" s="5"/>
      <c r="E147" s="5"/>
      <c r="F147" s="180"/>
      <c r="H147" s="290"/>
      <c r="I147" s="502" t="s">
        <v>185</v>
      </c>
      <c r="K147" s="2"/>
      <c r="AS147" s="232"/>
      <c r="AY147">
        <f t="shared" si="63"/>
        <v>1</v>
      </c>
      <c r="AZ147">
        <f t="shared" si="64"/>
        <v>0.01866025403784439</v>
      </c>
      <c r="BA147">
        <f t="shared" si="65"/>
        <v>-0.03732050807568878</v>
      </c>
      <c r="BB147">
        <f t="shared" si="66"/>
        <v>0</v>
      </c>
      <c r="BC147">
        <f t="shared" si="67"/>
        <v>0</v>
      </c>
      <c r="BD147">
        <f t="shared" si="68"/>
        <v>0</v>
      </c>
      <c r="BE147">
        <f t="shared" si="69"/>
        <v>0</v>
      </c>
      <c r="BF147">
        <f t="shared" si="71"/>
        <v>0</v>
      </c>
      <c r="BG147">
        <f t="shared" si="70"/>
        <v>1</v>
      </c>
    </row>
    <row r="148" spans="1:59" ht="20.25">
      <c r="A148" s="35"/>
      <c r="B148" s="6"/>
      <c r="C148" s="125"/>
      <c r="D148" s="214"/>
      <c r="E148" s="286" t="s">
        <v>271</v>
      </c>
      <c r="F148" s="215">
        <f>F146*F145</f>
        <v>0</v>
      </c>
      <c r="G148" s="13"/>
      <c r="H148" s="8"/>
      <c r="K148" s="2"/>
      <c r="N148" s="405">
        <f>IF(B113=1,7.3196,10.55)</f>
        <v>10.55</v>
      </c>
      <c r="O148" s="406">
        <f>IF(B113=1,2.6064,2.2014)</f>
        <v>2.2014</v>
      </c>
      <c r="AS148" s="232"/>
      <c r="AY148">
        <f t="shared" si="63"/>
        <v>1</v>
      </c>
      <c r="AZ148">
        <f t="shared" si="64"/>
        <v>0.01866025403784439</v>
      </c>
      <c r="BA148">
        <f t="shared" si="65"/>
        <v>-0.03732050807568878</v>
      </c>
      <c r="BB148">
        <f t="shared" si="66"/>
        <v>0</v>
      </c>
      <c r="BC148">
        <f t="shared" si="67"/>
        <v>0</v>
      </c>
      <c r="BD148">
        <f t="shared" si="68"/>
        <v>0</v>
      </c>
      <c r="BE148">
        <f t="shared" si="69"/>
        <v>0</v>
      </c>
      <c r="BF148">
        <f t="shared" si="71"/>
        <v>0</v>
      </c>
      <c r="BG148">
        <f t="shared" si="70"/>
        <v>1</v>
      </c>
    </row>
    <row r="149" spans="1:59" ht="13.5" thickBot="1">
      <c r="A149" s="34"/>
      <c r="B149" s="5"/>
      <c r="C149" s="5"/>
      <c r="D149" s="5"/>
      <c r="E149" s="5"/>
      <c r="F149" s="58"/>
      <c r="G149" s="13"/>
      <c r="H149" s="8"/>
      <c r="K149" s="1"/>
      <c r="AS149" s="232"/>
      <c r="AY149">
        <f t="shared" si="63"/>
        <v>1</v>
      </c>
      <c r="AZ149">
        <f t="shared" si="64"/>
        <v>0.01866025403784439</v>
      </c>
      <c r="BA149">
        <f t="shared" si="65"/>
        <v>-0.03732050807568878</v>
      </c>
      <c r="BB149">
        <f t="shared" si="66"/>
        <v>0</v>
      </c>
      <c r="BC149">
        <f t="shared" si="67"/>
        <v>0</v>
      </c>
      <c r="BD149">
        <f t="shared" si="68"/>
        <v>0</v>
      </c>
      <c r="BE149">
        <f t="shared" si="69"/>
        <v>0</v>
      </c>
      <c r="BF149">
        <f t="shared" si="71"/>
        <v>0</v>
      </c>
      <c r="BG149">
        <f t="shared" si="70"/>
        <v>1</v>
      </c>
    </row>
    <row r="150" spans="1:59" ht="20.25">
      <c r="A150" s="247" t="s">
        <v>187</v>
      </c>
      <c r="B150" s="113"/>
      <c r="C150" s="183"/>
      <c r="D150" s="184"/>
      <c r="E150" s="185"/>
      <c r="F150" s="186"/>
      <c r="G150" s="5"/>
      <c r="H150" s="5"/>
      <c r="AS150" s="232"/>
      <c r="AY150">
        <f t="shared" si="63"/>
        <v>1</v>
      </c>
      <c r="AZ150">
        <f t="shared" si="64"/>
        <v>0.01866025403784439</v>
      </c>
      <c r="BA150">
        <f t="shared" si="65"/>
        <v>-0.03732050807568878</v>
      </c>
      <c r="BB150">
        <f t="shared" si="66"/>
        <v>0</v>
      </c>
      <c r="BC150">
        <f t="shared" si="67"/>
        <v>0</v>
      </c>
      <c r="BD150">
        <f t="shared" si="68"/>
        <v>0</v>
      </c>
      <c r="BE150">
        <f t="shared" si="69"/>
        <v>0</v>
      </c>
      <c r="BF150">
        <f t="shared" si="71"/>
        <v>0</v>
      </c>
      <c r="BG150">
        <f t="shared" si="70"/>
        <v>1</v>
      </c>
    </row>
    <row r="151" spans="1:59" ht="12.75">
      <c r="A151" s="34"/>
      <c r="B151" s="5"/>
      <c r="C151" s="187"/>
      <c r="D151" s="125"/>
      <c r="E151" s="188" t="s">
        <v>272</v>
      </c>
      <c r="F151" s="182">
        <f>F145</f>
        <v>0</v>
      </c>
      <c r="G151" s="5"/>
      <c r="K151" s="1"/>
      <c r="AS151" s="232"/>
      <c r="AY151">
        <f t="shared" si="63"/>
        <v>1</v>
      </c>
      <c r="AZ151">
        <f t="shared" si="64"/>
        <v>0.01866025403784439</v>
      </c>
      <c r="BA151">
        <f t="shared" si="65"/>
        <v>-0.03732050807568878</v>
      </c>
      <c r="BB151" s="368">
        <f t="shared" si="66"/>
        <v>0</v>
      </c>
      <c r="BC151">
        <f t="shared" si="67"/>
        <v>0</v>
      </c>
      <c r="BD151">
        <f t="shared" si="68"/>
        <v>0</v>
      </c>
      <c r="BE151">
        <f t="shared" si="69"/>
        <v>0</v>
      </c>
      <c r="BF151">
        <f t="shared" si="71"/>
        <v>0</v>
      </c>
      <c r="BG151">
        <f t="shared" si="70"/>
        <v>1</v>
      </c>
    </row>
    <row r="152" spans="1:11" ht="12.75">
      <c r="A152" s="48"/>
      <c r="B152" s="119"/>
      <c r="C152" s="187"/>
      <c r="D152" s="125"/>
      <c r="E152" s="189" t="s">
        <v>273</v>
      </c>
      <c r="F152" s="139">
        <f>IF(B128&gt;0,(B128-B130)^3*F145/(F128)^3-F151,)</f>
        <v>0</v>
      </c>
      <c r="G152" s="5"/>
      <c r="H152" s="5"/>
      <c r="K152" s="1"/>
    </row>
    <row r="153" spans="1:11" ht="12.75">
      <c r="A153" s="34"/>
      <c r="B153" s="5"/>
      <c r="C153" s="187"/>
      <c r="D153" s="125"/>
      <c r="E153" s="144" t="s">
        <v>192</v>
      </c>
      <c r="F153" s="190">
        <f>F151+F152</f>
        <v>0</v>
      </c>
      <c r="G153" s="5"/>
      <c r="I153" s="5"/>
      <c r="K153" s="1"/>
    </row>
    <row r="154" spans="1:11" ht="15.75">
      <c r="A154" s="101"/>
      <c r="B154" s="22"/>
      <c r="C154" s="187"/>
      <c r="D154" s="191"/>
      <c r="E154" s="144"/>
      <c r="F154" s="192"/>
      <c r="G154" s="8"/>
      <c r="I154" s="5"/>
      <c r="K154" s="1"/>
    </row>
    <row r="155" spans="1:11" ht="21" thickBot="1">
      <c r="A155" s="117"/>
      <c r="B155" s="122"/>
      <c r="C155" s="193"/>
      <c r="D155" s="194"/>
      <c r="E155" s="195" t="s">
        <v>460</v>
      </c>
      <c r="F155" s="196">
        <f>ROUNDUP(F153/0.97,-1)</f>
        <v>0</v>
      </c>
      <c r="G155" s="390">
        <f>N148*F128^O148*B129</f>
        <v>0</v>
      </c>
      <c r="H155" s="388" t="s">
        <v>193</v>
      </c>
      <c r="I155" s="407"/>
      <c r="J155" s="408"/>
      <c r="K155" s="1"/>
    </row>
    <row r="156" spans="3:11" ht="13.5" thickTop="1">
      <c r="C156" s="197"/>
      <c r="D156" s="197"/>
      <c r="E156" s="198"/>
      <c r="F156" s="197"/>
      <c r="H156" s="1"/>
      <c r="I156" s="1"/>
      <c r="J156" s="1"/>
      <c r="K156" s="1"/>
    </row>
    <row r="157" spans="3:11" ht="12.75">
      <c r="C157" s="197"/>
      <c r="D157" s="197"/>
      <c r="E157" s="198"/>
      <c r="F157" s="197"/>
      <c r="H157" s="1"/>
      <c r="I157" s="1"/>
      <c r="J157" s="1"/>
      <c r="K157" s="1"/>
    </row>
    <row r="158" spans="5:11" ht="12.75">
      <c r="E158" s="1"/>
      <c r="H158" s="1"/>
      <c r="I158" s="1"/>
      <c r="J158" s="1"/>
      <c r="K158" s="1"/>
    </row>
    <row r="159" spans="5:11" ht="12.75">
      <c r="E159" s="1"/>
      <c r="H159" s="1"/>
      <c r="I159" s="1"/>
      <c r="J159" s="1"/>
      <c r="K159" s="1"/>
    </row>
    <row r="160" spans="5:11" ht="12.75">
      <c r="E160" s="1"/>
      <c r="H160" s="1"/>
      <c r="I160" s="1"/>
      <c r="J160" s="1"/>
      <c r="K160" s="1"/>
    </row>
    <row r="161" spans="5:11" ht="12.75">
      <c r="E161" s="1"/>
      <c r="H161" s="1"/>
      <c r="I161" s="1"/>
      <c r="J161" s="1"/>
      <c r="K161" s="1"/>
    </row>
    <row r="162" spans="5:37" ht="12.75">
      <c r="E162" s="1"/>
      <c r="H162" s="1"/>
      <c r="I162" s="1"/>
      <c r="J162" s="1"/>
      <c r="K162" s="1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5:11" ht="12.75">
      <c r="E163" s="1"/>
      <c r="H163" s="1"/>
      <c r="I163" s="1"/>
      <c r="J163" s="1"/>
      <c r="K163" s="1"/>
    </row>
    <row r="164" spans="5:11" ht="12.75">
      <c r="E164" s="1"/>
      <c r="H164" s="1"/>
      <c r="I164" s="1"/>
      <c r="J164" s="1"/>
      <c r="K164" s="7"/>
    </row>
    <row r="165" spans="1:11" ht="12.75">
      <c r="A165" s="5"/>
      <c r="B165" s="5"/>
      <c r="C165" s="5"/>
      <c r="D165" s="5"/>
      <c r="E165" s="7"/>
      <c r="F165" s="5"/>
      <c r="G165" s="5"/>
      <c r="H165" s="7"/>
      <c r="I165" s="7"/>
      <c r="J165" s="7"/>
      <c r="K165" s="1"/>
    </row>
    <row r="166" spans="5:11" ht="12.75">
      <c r="E166" s="1"/>
      <c r="H166" s="1"/>
      <c r="I166" s="1"/>
      <c r="J166" s="1"/>
      <c r="K166" s="1"/>
    </row>
    <row r="167" spans="5:11" ht="12.75">
      <c r="E167" s="1"/>
      <c r="H167" s="1"/>
      <c r="I167" s="1"/>
      <c r="J167" s="1"/>
      <c r="K167" s="1"/>
    </row>
    <row r="168" spans="5:11" ht="12.75">
      <c r="E168" s="1"/>
      <c r="H168" s="1"/>
      <c r="I168" s="1"/>
      <c r="J168" s="1"/>
      <c r="K168" s="1"/>
    </row>
    <row r="169" spans="5:11" ht="12.75">
      <c r="E169" s="1"/>
      <c r="H169" s="1"/>
      <c r="I169" s="1"/>
      <c r="J169" s="1"/>
      <c r="K169" s="1"/>
    </row>
    <row r="170" spans="5:11" ht="12.75">
      <c r="E170" s="1"/>
      <c r="H170" s="1"/>
      <c r="I170" s="1"/>
      <c r="J170" s="1"/>
      <c r="K170" s="1"/>
    </row>
    <row r="171" spans="5:11" ht="12.75">
      <c r="E171" s="1"/>
      <c r="H171" s="1"/>
      <c r="I171" s="1"/>
      <c r="J171" s="1"/>
      <c r="K171" s="1"/>
    </row>
    <row r="172" spans="5:11" ht="12.75">
      <c r="E172" s="1"/>
      <c r="H172" s="1"/>
      <c r="I172" s="1"/>
      <c r="J172" s="1"/>
      <c r="K172" s="1"/>
    </row>
    <row r="173" spans="1:11" ht="12.75">
      <c r="A173" s="8"/>
      <c r="B173" s="1"/>
      <c r="E173" s="1"/>
      <c r="H173" s="1"/>
      <c r="I173" s="1"/>
      <c r="J173" s="1"/>
      <c r="K173" s="1"/>
    </row>
    <row r="174" spans="1:11" ht="12.75">
      <c r="A174" s="15"/>
      <c r="B174" s="1"/>
      <c r="E174" s="1"/>
      <c r="H174" s="1"/>
      <c r="I174" s="1"/>
      <c r="J174" s="1"/>
      <c r="K174" s="1"/>
    </row>
    <row r="175" spans="1:11" ht="15.75">
      <c r="A175" s="16"/>
      <c r="B175" s="1"/>
      <c r="E175" s="1"/>
      <c r="H175" s="1"/>
      <c r="I175" s="1"/>
      <c r="J175" s="1"/>
      <c r="K175" s="1"/>
    </row>
    <row r="176" spans="1:11" ht="15.75">
      <c r="A176" s="16"/>
      <c r="B176" s="1"/>
      <c r="E176" s="1"/>
      <c r="H176" s="1"/>
      <c r="I176" s="1"/>
      <c r="J176" s="1"/>
      <c r="K176" s="1"/>
    </row>
    <row r="177" spans="1:11" ht="15.75">
      <c r="A177" s="16"/>
      <c r="B177" s="1"/>
      <c r="E177" s="1"/>
      <c r="H177" s="1"/>
      <c r="I177" s="1"/>
      <c r="J177" s="1"/>
      <c r="K177" s="1"/>
    </row>
    <row r="178" spans="1:11" ht="15.75">
      <c r="A178" s="16"/>
      <c r="B178" s="1"/>
      <c r="E178" s="1"/>
      <c r="H178" s="1"/>
      <c r="I178" s="1"/>
      <c r="J178" s="1"/>
      <c r="K178" s="1"/>
    </row>
    <row r="179" spans="1:11" ht="15.75">
      <c r="A179" s="16"/>
      <c r="B179" s="1"/>
      <c r="E179" s="1"/>
      <c r="H179" s="1"/>
      <c r="I179" s="1"/>
      <c r="J179" s="1"/>
      <c r="K179" s="1"/>
    </row>
    <row r="180" spans="1:11" ht="15.75">
      <c r="A180" s="16"/>
      <c r="B180" s="1"/>
      <c r="E180" s="1"/>
      <c r="H180" s="1"/>
      <c r="I180" s="1"/>
      <c r="J180" s="1"/>
      <c r="K180" s="1"/>
    </row>
    <row r="181" spans="1:11" ht="12.75">
      <c r="A181" s="7"/>
      <c r="B181" s="1"/>
      <c r="E181" s="1"/>
      <c r="H181" s="1"/>
      <c r="I181" s="1"/>
      <c r="J181" s="1"/>
      <c r="K181" s="1"/>
    </row>
    <row r="182" spans="1:11" ht="12.75">
      <c r="A182" s="7"/>
      <c r="B182" s="1"/>
      <c r="E182" s="1"/>
      <c r="H182" s="1"/>
      <c r="I182" s="1"/>
      <c r="J182" s="1"/>
      <c r="K182" s="1"/>
    </row>
    <row r="183" spans="1:11" ht="12.75">
      <c r="A183" s="7"/>
      <c r="B183" s="1"/>
      <c r="E183" s="1"/>
      <c r="H183" s="1"/>
      <c r="I183" s="1"/>
      <c r="J183" s="1"/>
      <c r="K183" s="1"/>
    </row>
    <row r="184" spans="1:11" ht="12.75">
      <c r="A184" s="7"/>
      <c r="B184" s="1"/>
      <c r="E184" s="1"/>
      <c r="F184" s="1"/>
      <c r="G184" s="1"/>
      <c r="H184" s="1"/>
      <c r="I184" s="1"/>
      <c r="J184" s="1"/>
      <c r="K184" s="1"/>
    </row>
    <row r="185" spans="1:11" ht="12.75">
      <c r="A185" s="7"/>
      <c r="B185" s="1"/>
      <c r="E185" s="1"/>
      <c r="F185" s="1"/>
      <c r="G185" s="1"/>
      <c r="H185" s="1"/>
      <c r="I185" s="1"/>
      <c r="J185" s="1"/>
      <c r="K185" s="1"/>
    </row>
    <row r="186" spans="1:11" ht="12.75">
      <c r="A186" s="7"/>
      <c r="B186" s="1"/>
      <c r="E186" s="1"/>
      <c r="F186" s="1"/>
      <c r="G186" s="1"/>
      <c r="H186" s="1"/>
      <c r="I186" s="1"/>
      <c r="J186" s="1"/>
      <c r="K186" s="1"/>
    </row>
    <row r="187" spans="1:11" ht="12.75">
      <c r="A187" s="7"/>
      <c r="B187" s="1"/>
      <c r="E187" s="1"/>
      <c r="F187" s="1"/>
      <c r="G187" s="1"/>
      <c r="H187" s="1"/>
      <c r="I187" s="1"/>
      <c r="J187" s="1"/>
      <c r="K187" s="1"/>
    </row>
    <row r="188" spans="1:11" ht="12.75">
      <c r="A188" s="7"/>
      <c r="B188" s="1"/>
      <c r="E188" s="1"/>
      <c r="F188" s="1"/>
      <c r="G188" s="1"/>
      <c r="H188" s="1"/>
      <c r="I188" s="1"/>
      <c r="J188" s="1"/>
      <c r="K188" s="1"/>
    </row>
    <row r="189" spans="1:11" ht="12.75">
      <c r="A189" s="7"/>
      <c r="B189" s="1"/>
      <c r="E189" s="1"/>
      <c r="F189" s="1"/>
      <c r="G189" s="1"/>
      <c r="H189" s="1"/>
      <c r="I189" s="1"/>
      <c r="J189" s="1"/>
      <c r="K189" s="1"/>
    </row>
    <row r="190" spans="1:11" ht="12.75">
      <c r="A190" s="7"/>
      <c r="B190" s="1"/>
      <c r="E190" s="1"/>
      <c r="F190" s="1"/>
      <c r="G190" s="1"/>
      <c r="H190" s="1"/>
      <c r="I190" s="1"/>
      <c r="J190" s="1"/>
      <c r="K190" s="1"/>
    </row>
    <row r="191" spans="1:11" ht="12.75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3" ht="12.75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</row>
    <row r="196" spans="1:13" ht="12.75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7:10" ht="12.75">
      <c r="G204" s="1"/>
      <c r="H204" s="1"/>
      <c r="I204" s="1"/>
      <c r="J204" s="1"/>
    </row>
    <row r="275" ht="12.75">
      <c r="R275" s="232"/>
    </row>
    <row r="276" spans="18:26" ht="12.75">
      <c r="R276" s="232"/>
      <c r="V276" t="s">
        <v>194</v>
      </c>
      <c r="Z276" s="368"/>
    </row>
    <row r="277" ht="12.75">
      <c r="R277" s="232"/>
    </row>
    <row r="278" spans="18:25" ht="12.75">
      <c r="R278" s="232"/>
      <c r="V278" t="s">
        <v>195</v>
      </c>
      <c r="X278" t="s">
        <v>196</v>
      </c>
      <c r="Y278">
        <f>AZ1</f>
        <v>0</v>
      </c>
    </row>
    <row r="279" spans="18:25" ht="12.75">
      <c r="R279" s="232"/>
      <c r="X279" t="s">
        <v>197</v>
      </c>
      <c r="Y279">
        <f>AZ2</f>
        <v>0</v>
      </c>
    </row>
    <row r="280" spans="18:25" ht="12.75">
      <c r="R280" s="232"/>
      <c r="V280" t="s">
        <v>198</v>
      </c>
      <c r="X280" t="s">
        <v>199</v>
      </c>
      <c r="Y280">
        <f>AZ3</f>
        <v>15</v>
      </c>
    </row>
    <row r="281" spans="18:22" ht="12.75">
      <c r="R281" s="232"/>
      <c r="V281" t="s">
        <v>200</v>
      </c>
    </row>
    <row r="282" spans="18:25" ht="12.75">
      <c r="R282" s="232"/>
      <c r="X282" t="s">
        <v>201</v>
      </c>
      <c r="Y282" s="103">
        <f>AZ4</f>
        <v>0</v>
      </c>
    </row>
    <row r="283" spans="18:25" ht="12.75">
      <c r="R283" s="232"/>
      <c r="X283" t="s">
        <v>202</v>
      </c>
      <c r="Y283" s="103">
        <f>BD3</f>
        <v>1.0939185236484793E-05</v>
      </c>
    </row>
    <row r="284" spans="18:25" ht="12.75">
      <c r="R284" s="232"/>
      <c r="X284" t="s">
        <v>203</v>
      </c>
      <c r="Y284" s="369">
        <f>BE3</f>
        <v>5.4695926182423965E-06</v>
      </c>
    </row>
    <row r="285" ht="12.75">
      <c r="R285" s="232"/>
    </row>
    <row r="286" ht="12.75">
      <c r="R286" s="232"/>
    </row>
    <row r="287" ht="12.75">
      <c r="R287" s="232"/>
    </row>
    <row r="288" ht="12.75">
      <c r="R288" s="232"/>
    </row>
    <row r="289" ht="12.75">
      <c r="R289" s="232"/>
    </row>
    <row r="290" ht="12.75">
      <c r="R290" s="232"/>
    </row>
    <row r="291" ht="12.75">
      <c r="R291" s="232"/>
    </row>
    <row r="292" ht="12.75">
      <c r="R292" s="232"/>
    </row>
    <row r="293" ht="12.75">
      <c r="R293" s="232"/>
    </row>
    <row r="294" ht="12.75">
      <c r="R294" s="232"/>
    </row>
    <row r="295" ht="12.75">
      <c r="R295" s="232"/>
    </row>
    <row r="296" ht="12.75">
      <c r="R296" s="232"/>
    </row>
    <row r="297" ht="12.75">
      <c r="R297" s="232"/>
    </row>
    <row r="298" ht="12.75">
      <c r="R298" s="232"/>
    </row>
    <row r="299" ht="12.75">
      <c r="R299" s="232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2" horizontalDpi="300" verticalDpi="300" orientation="portrait" paperSize="9" scale="60" r:id="rId3"/>
  <headerFooter alignWithMargins="0">
    <oddHeader xml:space="preserve">&amp;C  </oddHeader>
    <oddFooter>&amp;L           &amp;A &amp;F &amp;D</oddFooter>
  </headerFooter>
  <rowBreaks count="2" manualBreakCount="2">
    <brk id="51" max="255" man="1"/>
    <brk id="94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="75" zoomScaleNormal="75" workbookViewId="0" topLeftCell="A1">
      <pane xSplit="1" ySplit="1" topLeftCell="B54" activePane="bottomRight" state="frozen"/>
      <selection pane="topLeft"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9.140625" defaultRowHeight="12.75"/>
  <cols>
    <col min="1" max="1" width="11.7109375" style="0" customWidth="1"/>
    <col min="4" max="5" width="8.8515625" style="4" customWidth="1"/>
    <col min="6" max="7" width="8.8515625" style="229" customWidth="1"/>
    <col min="8" max="9" width="10.8515625" style="229" customWidth="1"/>
    <col min="10" max="10" width="10.421875" style="0" customWidth="1"/>
    <col min="11" max="11" width="10.421875" style="218" hidden="1" customWidth="1"/>
    <col min="12" max="15" width="0" style="4" hidden="1" customWidth="1"/>
    <col min="16" max="24" width="0" style="0" hidden="1" customWidth="1"/>
    <col min="25" max="25" width="0" style="4" hidden="1" customWidth="1"/>
    <col min="26" max="26" width="0" style="229" hidden="1" customWidth="1"/>
  </cols>
  <sheetData>
    <row r="1" spans="1:28" ht="12.75">
      <c r="A1" t="s">
        <v>274</v>
      </c>
      <c r="B1" s="4" t="s">
        <v>6</v>
      </c>
      <c r="C1" s="4" t="s">
        <v>40</v>
      </c>
      <c r="D1" s="4" t="s">
        <v>275</v>
      </c>
      <c r="E1" s="4" t="s">
        <v>276</v>
      </c>
      <c r="F1" s="229" t="s">
        <v>277</v>
      </c>
      <c r="G1" s="230" t="s">
        <v>1</v>
      </c>
      <c r="H1" s="230" t="s">
        <v>278</v>
      </c>
      <c r="I1" s="230" t="s">
        <v>279</v>
      </c>
      <c r="J1" t="s">
        <v>280</v>
      </c>
      <c r="K1" s="218" t="s">
        <v>281</v>
      </c>
      <c r="L1" s="218" t="s">
        <v>282</v>
      </c>
      <c r="M1" s="4" t="s">
        <v>283</v>
      </c>
      <c r="N1" s="4" t="s">
        <v>269</v>
      </c>
      <c r="O1" s="4" t="s">
        <v>2</v>
      </c>
      <c r="P1" s="4" t="s">
        <v>283</v>
      </c>
      <c r="Q1" s="4" t="s">
        <v>269</v>
      </c>
      <c r="R1" s="4" t="s">
        <v>2</v>
      </c>
      <c r="S1" s="4" t="s">
        <v>283</v>
      </c>
      <c r="T1" s="4" t="s">
        <v>269</v>
      </c>
      <c r="U1" s="4" t="s">
        <v>2</v>
      </c>
      <c r="V1" s="4" t="s">
        <v>283</v>
      </c>
      <c r="W1" s="4" t="s">
        <v>269</v>
      </c>
      <c r="X1" s="4" t="s">
        <v>2</v>
      </c>
      <c r="Y1" s="4" t="s">
        <v>284</v>
      </c>
      <c r="Z1" s="230" t="s">
        <v>285</v>
      </c>
      <c r="AB1" s="226"/>
    </row>
    <row r="2" spans="1:28" ht="12.75">
      <c r="A2" t="s">
        <v>286</v>
      </c>
      <c r="B2" s="121">
        <v>10.37</v>
      </c>
      <c r="C2" s="121">
        <v>5.185</v>
      </c>
      <c r="E2" s="4">
        <v>9000</v>
      </c>
      <c r="L2" s="218">
        <f>E2/C2</f>
        <v>1735.7762777242046</v>
      </c>
      <c r="M2" s="4">
        <v>9416</v>
      </c>
      <c r="N2" s="4">
        <v>9879</v>
      </c>
      <c r="O2" s="4">
        <v>8354</v>
      </c>
      <c r="AB2" s="226"/>
    </row>
    <row r="3" spans="1:28" ht="12.75">
      <c r="A3" t="s">
        <v>287</v>
      </c>
      <c r="B3" s="121">
        <v>10.97</v>
      </c>
      <c r="C3" s="121">
        <v>4.26</v>
      </c>
      <c r="D3" s="4">
        <v>10.1</v>
      </c>
      <c r="E3" s="4">
        <v>8948</v>
      </c>
      <c r="F3" s="229">
        <f>D3*B3^0.5/(42.305)</f>
        <v>0.790738688726911</v>
      </c>
      <c r="K3" s="218">
        <f>E3*0.75/F3</f>
        <v>8487.000946930657</v>
      </c>
      <c r="L3" s="231">
        <f>K3/C3</f>
        <v>1992.2537434109524</v>
      </c>
      <c r="M3" s="4">
        <v>8980</v>
      </c>
      <c r="N3" s="4">
        <v>9421</v>
      </c>
      <c r="O3" s="4">
        <v>8081</v>
      </c>
      <c r="P3" s="218">
        <f>M3/C3</f>
        <v>2107.981220657277</v>
      </c>
      <c r="Q3" s="218">
        <f>N3/C3</f>
        <v>2211.5023474178406</v>
      </c>
      <c r="R3" s="218">
        <f>O3/C3</f>
        <v>1896.9483568075118</v>
      </c>
      <c r="S3" s="218">
        <f aca="true" t="shared" si="0" ref="S3:U7">P3-$L3</f>
        <v>115.7274772463245</v>
      </c>
      <c r="T3" s="218">
        <f t="shared" si="0"/>
        <v>219.24860400688817</v>
      </c>
      <c r="U3" s="218">
        <f t="shared" si="0"/>
        <v>-95.30538660344064</v>
      </c>
      <c r="V3" s="232">
        <f aca="true" t="shared" si="1" ref="V3:X7">P3/$L3</f>
        <v>1.0580887237025274</v>
      </c>
      <c r="W3" s="232">
        <f t="shared" si="1"/>
        <v>1.1100505418709923</v>
      </c>
      <c r="X3" s="232">
        <f t="shared" si="1"/>
        <v>0.9521620240801919</v>
      </c>
      <c r="Y3" s="233">
        <f>X3</f>
        <v>0.9521620240801919</v>
      </c>
      <c r="Z3" s="229">
        <f>R3/P3</f>
        <v>0.8998886414253898</v>
      </c>
      <c r="AB3" s="226"/>
    </row>
    <row r="4" spans="1:28" ht="12.75">
      <c r="A4" t="s">
        <v>287</v>
      </c>
      <c r="B4" s="121">
        <v>9.75</v>
      </c>
      <c r="C4" s="121">
        <v>5.48</v>
      </c>
      <c r="D4" s="4">
        <v>10.19</v>
      </c>
      <c r="E4" s="4">
        <v>8202</v>
      </c>
      <c r="F4" s="229">
        <f>D4*B4^0.5/(42.305)</f>
        <v>0.7521159390577907</v>
      </c>
      <c r="K4" s="218">
        <f>E4*0.75/F4</f>
        <v>8178.925190318741</v>
      </c>
      <c r="L4" s="231">
        <f>K4/C4</f>
        <v>1492.504596773493</v>
      </c>
      <c r="M4" s="4">
        <v>8489</v>
      </c>
      <c r="N4" s="4">
        <v>8910</v>
      </c>
      <c r="O4" s="4">
        <v>7503</v>
      </c>
      <c r="P4" s="218">
        <f>M4/C4</f>
        <v>1549.0875912408758</v>
      </c>
      <c r="Q4" s="218">
        <f>N4/C4</f>
        <v>1625.912408759124</v>
      </c>
      <c r="R4" s="218">
        <f>O4/C4</f>
        <v>1369.1605839416056</v>
      </c>
      <c r="S4" s="218">
        <f t="shared" si="0"/>
        <v>56.58299446738283</v>
      </c>
      <c r="T4" s="218">
        <f t="shared" si="0"/>
        <v>133.40781198563104</v>
      </c>
      <c r="U4" s="218">
        <f t="shared" si="0"/>
        <v>-123.34401283188731</v>
      </c>
      <c r="V4" s="232">
        <f t="shared" si="1"/>
        <v>1.037911437317985</v>
      </c>
      <c r="W4" s="232">
        <f t="shared" si="1"/>
        <v>1.0893851933682703</v>
      </c>
      <c r="X4" s="232">
        <f t="shared" si="1"/>
        <v>0.9173576998700484</v>
      </c>
      <c r="Y4" s="233">
        <f>X4</f>
        <v>0.9173576998700484</v>
      </c>
      <c r="Z4" s="229">
        <f>R4/P4</f>
        <v>0.883849687831311</v>
      </c>
      <c r="AB4" s="226"/>
    </row>
    <row r="5" spans="1:28" ht="12.75">
      <c r="A5" t="s">
        <v>287</v>
      </c>
      <c r="B5" s="121">
        <v>10.36</v>
      </c>
      <c r="C5" s="121">
        <v>4.87</v>
      </c>
      <c r="D5" s="4">
        <v>9.88</v>
      </c>
      <c r="E5" s="4">
        <v>8202</v>
      </c>
      <c r="F5" s="229">
        <f>D5*B5^0.5/(42.305)</f>
        <v>0.7517009911905407</v>
      </c>
      <c r="K5" s="218">
        <f>E5*0.75/F5</f>
        <v>8183.4400540795905</v>
      </c>
      <c r="L5" s="231">
        <f>K5/C5</f>
        <v>1680.377834513263</v>
      </c>
      <c r="M5" s="4">
        <v>8835</v>
      </c>
      <c r="N5" s="4">
        <v>9269</v>
      </c>
      <c r="O5" s="4">
        <v>7869</v>
      </c>
      <c r="P5" s="218">
        <f>M5/C5</f>
        <v>1814.1683778234085</v>
      </c>
      <c r="Q5" s="218">
        <f>N5/C5</f>
        <v>1903.2854209445584</v>
      </c>
      <c r="R5" s="218">
        <f>O5/C5</f>
        <v>1615.8110882956878</v>
      </c>
      <c r="S5" s="218">
        <f t="shared" si="0"/>
        <v>133.7905433101455</v>
      </c>
      <c r="T5" s="218">
        <f t="shared" si="0"/>
        <v>222.90758643129539</v>
      </c>
      <c r="U5" s="218">
        <f t="shared" si="0"/>
        <v>-64.5667462175752</v>
      </c>
      <c r="V5" s="232">
        <f t="shared" si="1"/>
        <v>1.0796193216562506</v>
      </c>
      <c r="W5" s="232">
        <f t="shared" si="1"/>
        <v>1.1326532532463822</v>
      </c>
      <c r="X5" s="232">
        <f t="shared" si="1"/>
        <v>0.9615760545685385</v>
      </c>
      <c r="Y5" s="233">
        <f>X5</f>
        <v>0.9615760545685385</v>
      </c>
      <c r="Z5" s="229">
        <f>R5/P5</f>
        <v>0.8906621392190153</v>
      </c>
      <c r="AB5" s="226"/>
    </row>
    <row r="6" spans="1:28" ht="12.75">
      <c r="A6" t="s">
        <v>287</v>
      </c>
      <c r="B6" s="121">
        <v>10.36</v>
      </c>
      <c r="C6" s="121">
        <v>4.26</v>
      </c>
      <c r="D6" s="4">
        <v>9.98</v>
      </c>
      <c r="E6" s="4">
        <v>7457</v>
      </c>
      <c r="F6" s="229">
        <f>D6*B6^0.5/(42.305)</f>
        <v>0.7593093008179752</v>
      </c>
      <c r="K6" s="218">
        <f>E6*0.75/F6</f>
        <v>7365.575522353199</v>
      </c>
      <c r="L6" s="231">
        <f>K6/C6</f>
        <v>1729.008338580563</v>
      </c>
      <c r="M6" s="4">
        <v>7754</v>
      </c>
      <c r="N6" s="4">
        <v>8143</v>
      </c>
      <c r="O6" s="4">
        <v>6969</v>
      </c>
      <c r="P6" s="218">
        <f>M6/C6</f>
        <v>1820.1877934272302</v>
      </c>
      <c r="Q6" s="218">
        <f>N6/C6</f>
        <v>1911.5023474178404</v>
      </c>
      <c r="R6" s="218">
        <f>O6/C6</f>
        <v>1635.9154929577467</v>
      </c>
      <c r="S6" s="218">
        <f t="shared" si="0"/>
        <v>91.17945484666711</v>
      </c>
      <c r="T6" s="218">
        <f t="shared" si="0"/>
        <v>182.4940088372773</v>
      </c>
      <c r="U6" s="218">
        <f t="shared" si="0"/>
        <v>-93.09284562281641</v>
      </c>
      <c r="V6" s="232">
        <f t="shared" si="1"/>
        <v>1.0527351157378</v>
      </c>
      <c r="W6" s="232">
        <f t="shared" si="1"/>
        <v>1.1055483682554688</v>
      </c>
      <c r="X6" s="232">
        <f t="shared" si="1"/>
        <v>0.9461582436905762</v>
      </c>
      <c r="Y6" s="233">
        <f>X6</f>
        <v>0.9461582436905762</v>
      </c>
      <c r="Z6" s="229">
        <f>R6/P6</f>
        <v>0.8987619293267991</v>
      </c>
      <c r="AB6" s="226"/>
    </row>
    <row r="7" spans="1:28" ht="12.75">
      <c r="A7" t="s">
        <v>287</v>
      </c>
      <c r="B7" s="121">
        <v>9.75</v>
      </c>
      <c r="C7" s="121">
        <v>4.26</v>
      </c>
      <c r="D7" s="4">
        <v>10.19</v>
      </c>
      <c r="E7" s="4">
        <v>7009</v>
      </c>
      <c r="F7" s="229">
        <f>D7*B7^0.5/(42.305)</f>
        <v>0.7521159390577907</v>
      </c>
      <c r="K7" s="218">
        <f>E7*0.75/F7</f>
        <v>6989.281475121197</v>
      </c>
      <c r="L7" s="231">
        <f>K7/C7</f>
        <v>1640.6764026106098</v>
      </c>
      <c r="M7" s="4">
        <v>6902</v>
      </c>
      <c r="N7" s="4">
        <v>7233</v>
      </c>
      <c r="O7" s="4">
        <v>6197</v>
      </c>
      <c r="P7" s="218">
        <f>M7/C7</f>
        <v>1620.1877934272302</v>
      </c>
      <c r="Q7" s="218">
        <f>N7/C7</f>
        <v>1697.887323943662</v>
      </c>
      <c r="R7" s="218">
        <f>O7/C7</f>
        <v>1454.6948356807513</v>
      </c>
      <c r="S7" s="218">
        <f t="shared" si="0"/>
        <v>-20.488609183379594</v>
      </c>
      <c r="T7" s="218">
        <f t="shared" si="0"/>
        <v>57.21092133305228</v>
      </c>
      <c r="U7" s="218">
        <f t="shared" si="0"/>
        <v>-185.98156692985845</v>
      </c>
      <c r="V7" s="232">
        <f t="shared" si="1"/>
        <v>0.9875120961386544</v>
      </c>
      <c r="W7" s="232">
        <f t="shared" si="1"/>
        <v>1.0348703261910877</v>
      </c>
      <c r="X7" s="232">
        <f t="shared" si="1"/>
        <v>0.8866433584136832</v>
      </c>
      <c r="Y7" s="233">
        <f>X7</f>
        <v>0.8866433584136832</v>
      </c>
      <c r="Z7" s="229">
        <f>R7/P7</f>
        <v>0.8978556940017387</v>
      </c>
      <c r="AB7" s="226"/>
    </row>
    <row r="8" spans="1:28" ht="12.75">
      <c r="A8" t="s">
        <v>286</v>
      </c>
      <c r="B8" s="121">
        <v>9.76</v>
      </c>
      <c r="C8" s="121">
        <v>4.57</v>
      </c>
      <c r="E8" s="4">
        <v>7000</v>
      </c>
      <c r="L8" s="218">
        <f>E8/C8</f>
        <v>1531.7286652078774</v>
      </c>
      <c r="M8" s="4">
        <v>7126</v>
      </c>
      <c r="N8" s="4">
        <v>7484</v>
      </c>
      <c r="O8" s="4">
        <v>6368</v>
      </c>
      <c r="AB8" s="226"/>
    </row>
    <row r="9" spans="1:28" ht="12.75">
      <c r="A9" t="s">
        <v>286</v>
      </c>
      <c r="B9" s="121">
        <v>9.76</v>
      </c>
      <c r="C9" s="121">
        <v>5.64</v>
      </c>
      <c r="E9" s="4">
        <v>7000</v>
      </c>
      <c r="L9" s="218">
        <f>E9/C9</f>
        <v>1241.1347517730496</v>
      </c>
      <c r="M9" s="4">
        <v>8755</v>
      </c>
      <c r="N9" s="4">
        <v>9188</v>
      </c>
      <c r="O9" s="4">
        <v>7725</v>
      </c>
      <c r="AB9" s="226"/>
    </row>
    <row r="10" spans="1:28" ht="12.75">
      <c r="A10" t="s">
        <v>287</v>
      </c>
      <c r="B10" s="121">
        <v>9.75</v>
      </c>
      <c r="C10" s="121">
        <v>4.26</v>
      </c>
      <c r="D10" s="4">
        <v>9.77</v>
      </c>
      <c r="E10" s="4">
        <v>6711</v>
      </c>
      <c r="F10" s="229">
        <f>D10*B10^0.5/(42.305)</f>
        <v>0.7211160671829849</v>
      </c>
      <c r="K10" s="218">
        <f>E10*0.75/F10</f>
        <v>6979.805649958983</v>
      </c>
      <c r="L10" s="231">
        <f>K10/C10</f>
        <v>1638.4520305068036</v>
      </c>
      <c r="M10" s="4">
        <v>6637</v>
      </c>
      <c r="N10" s="4">
        <v>6978</v>
      </c>
      <c r="O10" s="4">
        <v>5950</v>
      </c>
      <c r="P10" s="218">
        <f>M10/C10</f>
        <v>1557.9812206572772</v>
      </c>
      <c r="Q10" s="218">
        <f>N10/C10</f>
        <v>1638.0281690140846</v>
      </c>
      <c r="R10" s="218">
        <f>O10/C10</f>
        <v>1396.7136150234742</v>
      </c>
      <c r="S10" s="218">
        <f>P10-$L10</f>
        <v>-80.4708098495264</v>
      </c>
      <c r="T10" s="218">
        <f>Q10-$L10</f>
        <v>-0.4238614927189701</v>
      </c>
      <c r="U10" s="218">
        <f>R10-$L10</f>
        <v>-241.7384154833294</v>
      </c>
      <c r="V10" s="232">
        <f>P10/$L10</f>
        <v>0.9508860751787556</v>
      </c>
      <c r="W10" s="232">
        <f>Q10/$L10</f>
        <v>0.9997413036910285</v>
      </c>
      <c r="X10" s="232">
        <f>R10/$L10</f>
        <v>0.8524592658299827</v>
      </c>
      <c r="Y10" s="233">
        <f>X10</f>
        <v>0.8524592658299827</v>
      </c>
      <c r="Z10" s="229">
        <f>R10/P10</f>
        <v>0.8964893777309024</v>
      </c>
      <c r="AB10" s="226"/>
    </row>
    <row r="11" spans="1:28" ht="12.75">
      <c r="A11" t="s">
        <v>286</v>
      </c>
      <c r="B11" s="121">
        <v>9.15</v>
      </c>
      <c r="C11" s="121">
        <v>4.57</v>
      </c>
      <c r="E11" s="4">
        <v>6500</v>
      </c>
      <c r="L11" s="218">
        <f>E11/C11</f>
        <v>1422.319474835886</v>
      </c>
      <c r="M11" s="4">
        <v>6039</v>
      </c>
      <c r="N11" s="4">
        <v>6352</v>
      </c>
      <c r="O11" s="4">
        <v>5392</v>
      </c>
      <c r="AB11" s="226"/>
    </row>
    <row r="12" spans="1:28" ht="12.75">
      <c r="A12" t="s">
        <v>286</v>
      </c>
      <c r="B12" s="121">
        <v>9.15</v>
      </c>
      <c r="C12" s="121">
        <v>3.66</v>
      </c>
      <c r="E12" s="4">
        <v>5500</v>
      </c>
      <c r="L12" s="218">
        <f>E12/C12</f>
        <v>1502.7322404371585</v>
      </c>
      <c r="M12" s="4">
        <v>4864</v>
      </c>
      <c r="N12" s="4">
        <v>5123</v>
      </c>
      <c r="O12" s="4">
        <v>4400</v>
      </c>
      <c r="AB12" s="226"/>
    </row>
    <row r="13" spans="1:28" ht="12.75">
      <c r="A13" t="s">
        <v>287</v>
      </c>
      <c r="B13" s="121">
        <v>8.23</v>
      </c>
      <c r="C13" s="121">
        <v>5.18</v>
      </c>
      <c r="D13" s="4">
        <v>11.3</v>
      </c>
      <c r="E13" s="4">
        <v>5219</v>
      </c>
      <c r="F13" s="229">
        <f>D13*B13^0.5/(42.305)</f>
        <v>0.7662785375342201</v>
      </c>
      <c r="K13" s="218">
        <f>E13*0.75/F13</f>
        <v>5108.1294963519695</v>
      </c>
      <c r="L13" s="231">
        <f>K13/C13</f>
        <v>986.1253853961332</v>
      </c>
      <c r="M13" s="4">
        <v>5203</v>
      </c>
      <c r="N13" s="4">
        <v>5483</v>
      </c>
      <c r="O13" s="4">
        <v>4611</v>
      </c>
      <c r="P13" s="218">
        <f>M13/C13</f>
        <v>1004.4401544401545</v>
      </c>
      <c r="Q13" s="218">
        <f>N13/C13</f>
        <v>1058.4942084942086</v>
      </c>
      <c r="R13" s="218">
        <f>O13/C13</f>
        <v>890.1544401544402</v>
      </c>
      <c r="S13" s="218">
        <f aca="true" t="shared" si="2" ref="S13:U17">P13-$L13</f>
        <v>18.314769044021318</v>
      </c>
      <c r="T13" s="218">
        <f t="shared" si="2"/>
        <v>72.36882309807538</v>
      </c>
      <c r="U13" s="218">
        <f t="shared" si="2"/>
        <v>-95.97094524169302</v>
      </c>
      <c r="V13" s="232">
        <f aca="true" t="shared" si="3" ref="V13:X17">P13/$L13</f>
        <v>1.0185724546951644</v>
      </c>
      <c r="W13" s="232">
        <f t="shared" si="3"/>
        <v>1.0733870399949235</v>
      </c>
      <c r="X13" s="232">
        <f t="shared" si="3"/>
        <v>0.9026787600613883</v>
      </c>
      <c r="Y13" s="233">
        <f>X13</f>
        <v>0.9026787600613883</v>
      </c>
      <c r="Z13" s="229">
        <f>R13/P13</f>
        <v>0.8862194887564866</v>
      </c>
      <c r="AB13" s="226"/>
    </row>
    <row r="14" spans="1:28" ht="12.75">
      <c r="A14" t="s">
        <v>287</v>
      </c>
      <c r="B14" s="121">
        <v>8.53</v>
      </c>
      <c r="C14" s="121">
        <v>3.5</v>
      </c>
      <c r="D14" s="4">
        <v>10.9</v>
      </c>
      <c r="E14" s="4">
        <v>5219</v>
      </c>
      <c r="F14" s="229">
        <f>D14*B14^0.5/(42.305)</f>
        <v>0.7525048686678243</v>
      </c>
      <c r="K14" s="218">
        <f>E14*0.75/F14</f>
        <v>5201.627475087945</v>
      </c>
      <c r="L14" s="231">
        <f>K14/C14</f>
        <v>1486.1792785965556</v>
      </c>
      <c r="M14" s="4">
        <v>3888</v>
      </c>
      <c r="N14" s="4">
        <v>4103</v>
      </c>
      <c r="O14" s="4">
        <v>3531</v>
      </c>
      <c r="P14" s="218">
        <f>M14/C14</f>
        <v>1110.857142857143</v>
      </c>
      <c r="Q14" s="218">
        <f>N14/C14</f>
        <v>1172.2857142857142</v>
      </c>
      <c r="R14" s="218">
        <f>O14/C14</f>
        <v>1008.8571428571429</v>
      </c>
      <c r="S14" s="218">
        <f t="shared" si="2"/>
        <v>-375.3221357394127</v>
      </c>
      <c r="T14" s="218">
        <f t="shared" si="2"/>
        <v>-313.8935643108414</v>
      </c>
      <c r="U14" s="218">
        <f t="shared" si="2"/>
        <v>-477.3221357394127</v>
      </c>
      <c r="V14" s="232">
        <f t="shared" si="3"/>
        <v>0.7474583711772372</v>
      </c>
      <c r="W14" s="232">
        <f t="shared" si="3"/>
        <v>0.7887915887191883</v>
      </c>
      <c r="X14" s="232">
        <f t="shared" si="3"/>
        <v>0.6788260053052533</v>
      </c>
      <c r="Y14" s="233">
        <f>X14</f>
        <v>0.6788260053052533</v>
      </c>
      <c r="Z14" s="229">
        <f>R14/P14</f>
        <v>0.908179012345679</v>
      </c>
      <c r="AB14" s="226"/>
    </row>
    <row r="15" spans="1:28" ht="12.75">
      <c r="A15" t="s">
        <v>287</v>
      </c>
      <c r="B15" s="121">
        <v>8.53</v>
      </c>
      <c r="C15" s="121">
        <v>4.26</v>
      </c>
      <c r="D15" s="4">
        <v>10.3</v>
      </c>
      <c r="E15" s="4">
        <v>5219</v>
      </c>
      <c r="F15" s="229">
        <f>D15*B15^0.5/(42.305)</f>
        <v>0.7110825823191368</v>
      </c>
      <c r="K15" s="218">
        <f>E15*0.75/F15</f>
        <v>5504.634900821222</v>
      </c>
      <c r="L15" s="231">
        <f>K15/C15</f>
        <v>1292.1678170941836</v>
      </c>
      <c r="M15" s="4">
        <v>4705</v>
      </c>
      <c r="N15" s="4">
        <v>4963</v>
      </c>
      <c r="O15" s="4">
        <v>4221</v>
      </c>
      <c r="P15" s="218">
        <f>M15/C15</f>
        <v>1104.4600938967137</v>
      </c>
      <c r="Q15" s="218">
        <f>N15/C15</f>
        <v>1165.0234741784038</v>
      </c>
      <c r="R15" s="218">
        <f>O15/C15</f>
        <v>990.8450704225353</v>
      </c>
      <c r="S15" s="218">
        <f t="shared" si="2"/>
        <v>-187.70772319746993</v>
      </c>
      <c r="T15" s="218">
        <f t="shared" si="2"/>
        <v>-127.14434291577982</v>
      </c>
      <c r="U15" s="218">
        <f t="shared" si="2"/>
        <v>-301.32274667164836</v>
      </c>
      <c r="V15" s="232">
        <f t="shared" si="3"/>
        <v>0.8547342530016067</v>
      </c>
      <c r="W15" s="232">
        <f t="shared" si="3"/>
        <v>0.9016038464711952</v>
      </c>
      <c r="X15" s="232">
        <f t="shared" si="3"/>
        <v>0.7668083489733861</v>
      </c>
      <c r="Y15" s="233">
        <f>X15</f>
        <v>0.7668083489733861</v>
      </c>
      <c r="Z15" s="229">
        <f>R15/P15</f>
        <v>0.8971307120085016</v>
      </c>
      <c r="AB15" s="226"/>
    </row>
    <row r="16" spans="1:28" ht="12.75">
      <c r="A16" t="s">
        <v>287</v>
      </c>
      <c r="B16" s="121">
        <v>9.14</v>
      </c>
      <c r="C16" s="121">
        <v>3.35</v>
      </c>
      <c r="D16" s="4">
        <v>10.8</v>
      </c>
      <c r="E16" s="4">
        <v>5219</v>
      </c>
      <c r="F16" s="229">
        <f>D16*B16^0.5/(42.305)</f>
        <v>0.7718006748354783</v>
      </c>
      <c r="K16" s="218">
        <f>E16*0.75/F16</f>
        <v>5071.581468666615</v>
      </c>
      <c r="L16" s="231">
        <f>K16/C16</f>
        <v>1513.9049160198851</v>
      </c>
      <c r="M16" s="4">
        <v>4451</v>
      </c>
      <c r="N16" s="4">
        <v>4691</v>
      </c>
      <c r="O16" s="4">
        <v>4060</v>
      </c>
      <c r="P16" s="218">
        <f>M16/C16</f>
        <v>1328.6567164179105</v>
      </c>
      <c r="Q16" s="218">
        <f>N16/C16</f>
        <v>1400.2985074626865</v>
      </c>
      <c r="R16" s="218">
        <f>O16/C16</f>
        <v>1211.9402985074626</v>
      </c>
      <c r="S16" s="218">
        <f t="shared" si="2"/>
        <v>-185.24819960197465</v>
      </c>
      <c r="T16" s="218">
        <f t="shared" si="2"/>
        <v>-113.60640855719862</v>
      </c>
      <c r="U16" s="218">
        <f t="shared" si="2"/>
        <v>-301.9646175124226</v>
      </c>
      <c r="V16" s="232">
        <f t="shared" si="3"/>
        <v>0.8776355122163159</v>
      </c>
      <c r="W16" s="232">
        <f t="shared" si="3"/>
        <v>0.9249580291634997</v>
      </c>
      <c r="X16" s="232">
        <f t="shared" si="3"/>
        <v>0.8005392450231952</v>
      </c>
      <c r="Y16" s="233">
        <f>X16</f>
        <v>0.8005392450231952</v>
      </c>
      <c r="Z16" s="229">
        <f>R16/P16</f>
        <v>0.9121545720062906</v>
      </c>
      <c r="AB16" s="226"/>
    </row>
    <row r="17" spans="1:28" ht="12.75">
      <c r="A17" t="s">
        <v>287</v>
      </c>
      <c r="B17" s="121">
        <v>8.23</v>
      </c>
      <c r="C17" s="121">
        <v>4.41</v>
      </c>
      <c r="D17" s="4">
        <v>11.2</v>
      </c>
      <c r="E17" s="4">
        <v>4697</v>
      </c>
      <c r="F17" s="229">
        <f>D17*B17^0.5/(42.305)</f>
        <v>0.7594973115383419</v>
      </c>
      <c r="K17" s="218">
        <f>E17*0.75/F17</f>
        <v>4638.265266357246</v>
      </c>
      <c r="L17" s="231">
        <f>K17/C17</f>
        <v>1051.7608313735252</v>
      </c>
      <c r="M17" s="4">
        <v>4444</v>
      </c>
      <c r="N17" s="4">
        <v>4680</v>
      </c>
      <c r="O17" s="4">
        <v>3973</v>
      </c>
      <c r="P17" s="218">
        <f>M17/C17</f>
        <v>1007.7097505668934</v>
      </c>
      <c r="Q17" s="218">
        <f>N17/C17</f>
        <v>1061.2244897959183</v>
      </c>
      <c r="R17" s="218">
        <f>O17/C17</f>
        <v>900.9070294784581</v>
      </c>
      <c r="S17" s="218">
        <f t="shared" si="2"/>
        <v>-44.05108080663183</v>
      </c>
      <c r="T17" s="218">
        <f t="shared" si="2"/>
        <v>9.46365842239311</v>
      </c>
      <c r="U17" s="218">
        <f t="shared" si="2"/>
        <v>-150.85380189506714</v>
      </c>
      <c r="V17" s="232">
        <f t="shared" si="3"/>
        <v>0.958116827046027</v>
      </c>
      <c r="W17" s="232">
        <f t="shared" si="3"/>
        <v>1.0089979186713336</v>
      </c>
      <c r="X17" s="232">
        <f t="shared" si="3"/>
        <v>0.8565702416412838</v>
      </c>
      <c r="Y17" s="233">
        <f>X17</f>
        <v>0.8565702416412838</v>
      </c>
      <c r="Z17" s="229">
        <f>R17/P17</f>
        <v>0.8940144014401441</v>
      </c>
      <c r="AB17" s="226"/>
    </row>
    <row r="18" spans="1:28" ht="12.75">
      <c r="A18" t="s">
        <v>286</v>
      </c>
      <c r="B18" s="121">
        <v>8.5</v>
      </c>
      <c r="C18" s="121">
        <v>3.66</v>
      </c>
      <c r="E18" s="4">
        <v>4000</v>
      </c>
      <c r="L18" s="218">
        <f>E18/C18</f>
        <v>1092.8961748633878</v>
      </c>
      <c r="M18" s="4">
        <v>4024</v>
      </c>
      <c r="N18" s="4">
        <v>4249</v>
      </c>
      <c r="O18" s="4">
        <v>3643</v>
      </c>
      <c r="AB18" s="226"/>
    </row>
    <row r="19" spans="1:28" ht="12.75">
      <c r="A19" t="s">
        <v>286</v>
      </c>
      <c r="B19" s="121">
        <v>8.5</v>
      </c>
      <c r="C19" s="121">
        <v>3.05</v>
      </c>
      <c r="E19" s="4">
        <v>3100</v>
      </c>
      <c r="L19" s="218">
        <f>E19/C19</f>
        <v>1016.3934426229508</v>
      </c>
      <c r="M19" s="4">
        <v>3371</v>
      </c>
      <c r="N19" s="4">
        <v>3560</v>
      </c>
      <c r="O19" s="4">
        <v>3093</v>
      </c>
      <c r="AB19" s="226"/>
    </row>
    <row r="20" spans="1:28" ht="12.75">
      <c r="A20" t="s">
        <v>287</v>
      </c>
      <c r="B20" s="121">
        <v>7.31</v>
      </c>
      <c r="C20" s="121">
        <v>3.65</v>
      </c>
      <c r="D20" s="4">
        <v>11.94</v>
      </c>
      <c r="E20" s="4">
        <v>2609</v>
      </c>
      <c r="F20" s="229">
        <f>D20*B20^0.5/(42.305)</f>
        <v>0.7630821872831748</v>
      </c>
      <c r="K20" s="218">
        <f>E20*0.75/F20</f>
        <v>2564.271624484746</v>
      </c>
      <c r="L20" s="231">
        <f>K20/C20</f>
        <v>702.5401710917113</v>
      </c>
      <c r="M20" s="4">
        <v>2723</v>
      </c>
      <c r="N20" s="4">
        <v>2883</v>
      </c>
      <c r="O20" s="4">
        <v>2462</v>
      </c>
      <c r="P20" s="218">
        <f>M20/C20</f>
        <v>746.027397260274</v>
      </c>
      <c r="Q20" s="218">
        <f>N20/C20</f>
        <v>789.8630136986302</v>
      </c>
      <c r="R20" s="218">
        <f>O20/C20</f>
        <v>674.5205479452055</v>
      </c>
      <c r="S20" s="218">
        <f>P20-$L20</f>
        <v>43.487226168562756</v>
      </c>
      <c r="T20" s="218">
        <f>Q20-$L20</f>
        <v>87.32284260691893</v>
      </c>
      <c r="U20" s="218">
        <f>R20-$L20</f>
        <v>-28.01962314650575</v>
      </c>
      <c r="V20" s="232">
        <f>P20/$L20</f>
        <v>1.0618999851652409</v>
      </c>
      <c r="W20" s="232">
        <f>Q20/$L20</f>
        <v>1.1242958711830295</v>
      </c>
      <c r="X20" s="232">
        <f>R20/$L20</f>
        <v>0.9601166960987232</v>
      </c>
      <c r="Y20" s="233">
        <f>X20</f>
        <v>0.9601166960987232</v>
      </c>
      <c r="Z20" s="229">
        <f>R20/P20</f>
        <v>0.9041498347410943</v>
      </c>
      <c r="AB20" s="226"/>
    </row>
    <row r="21" spans="1:28" ht="12.75">
      <c r="A21" t="s">
        <v>286</v>
      </c>
      <c r="B21" s="121">
        <v>7.9</v>
      </c>
      <c r="C21" s="121">
        <v>3.05</v>
      </c>
      <c r="E21" s="4">
        <v>2600</v>
      </c>
      <c r="L21" s="218">
        <f>E21/C21</f>
        <v>852.4590163934427</v>
      </c>
      <c r="M21" s="4">
        <v>2792</v>
      </c>
      <c r="N21" s="4">
        <v>2952</v>
      </c>
      <c r="O21" s="4">
        <v>2550</v>
      </c>
      <c r="AB21" s="226"/>
    </row>
    <row r="22" spans="1:28" ht="12.75">
      <c r="A22" t="s">
        <v>287</v>
      </c>
      <c r="B22" s="121">
        <v>7.92</v>
      </c>
      <c r="C22" s="121">
        <v>3.05</v>
      </c>
      <c r="D22" s="4">
        <v>11.2</v>
      </c>
      <c r="E22" s="4">
        <v>2460</v>
      </c>
      <c r="F22" s="229">
        <f>D22*B22^0.5/(42.305)</f>
        <v>0.7450559958873287</v>
      </c>
      <c r="K22" s="218">
        <f>E22*0.75/F22</f>
        <v>2476.3239409981347</v>
      </c>
      <c r="L22" s="231">
        <f>K22/C22</f>
        <v>811.9094888518475</v>
      </c>
      <c r="M22" s="4">
        <v>2810</v>
      </c>
      <c r="N22" s="4">
        <v>2973</v>
      </c>
      <c r="O22" s="4">
        <v>2574</v>
      </c>
      <c r="P22" s="218">
        <f>M22/C22</f>
        <v>921.3114754098361</v>
      </c>
      <c r="Q22" s="218">
        <f>N22/C22</f>
        <v>974.7540983606558</v>
      </c>
      <c r="R22" s="218">
        <f>O22/C22</f>
        <v>843.9344262295083</v>
      </c>
      <c r="S22" s="218">
        <f>P22-$L22</f>
        <v>109.40198655798861</v>
      </c>
      <c r="T22" s="218">
        <f>Q22-$L22</f>
        <v>162.84460950880828</v>
      </c>
      <c r="U22" s="218">
        <f>R22-$L22</f>
        <v>32.02493737766076</v>
      </c>
      <c r="V22" s="232">
        <f>P22/$L22</f>
        <v>1.1347465303216226</v>
      </c>
      <c r="W22" s="232">
        <f>Q22/$L22</f>
        <v>1.200569905568037</v>
      </c>
      <c r="X22" s="232">
        <f>R22/$L22</f>
        <v>1.039443974750127</v>
      </c>
      <c r="Y22" s="233">
        <f>X22</f>
        <v>1.039443974750127</v>
      </c>
      <c r="Z22" s="229">
        <f>R22/P22</f>
        <v>0.9160142348754449</v>
      </c>
      <c r="AB22" s="226"/>
    </row>
    <row r="23" spans="1:15" ht="12.75">
      <c r="A23" t="s">
        <v>286</v>
      </c>
      <c r="B23" s="121">
        <v>7.4</v>
      </c>
      <c r="C23" s="121">
        <v>3.05</v>
      </c>
      <c r="E23" s="4">
        <v>2200</v>
      </c>
      <c r="L23" s="218">
        <f>E23/C23</f>
        <v>721.3114754098361</v>
      </c>
      <c r="M23" s="4">
        <v>2358</v>
      </c>
      <c r="N23" s="4">
        <v>2498</v>
      </c>
      <c r="O23" s="4">
        <v>2154</v>
      </c>
    </row>
    <row r="24" spans="1:15" ht="12.75">
      <c r="A24" t="s">
        <v>286</v>
      </c>
      <c r="B24" s="121">
        <v>7.9</v>
      </c>
      <c r="C24" s="121">
        <v>2.44</v>
      </c>
      <c r="E24" s="4">
        <v>2100</v>
      </c>
      <c r="L24" s="218">
        <f>E24/C24</f>
        <v>860.655737704918</v>
      </c>
      <c r="M24" s="4">
        <v>2249</v>
      </c>
      <c r="N24" s="4">
        <v>2383</v>
      </c>
      <c r="O24" s="4">
        <v>2099</v>
      </c>
    </row>
    <row r="25" spans="1:15" ht="12.75">
      <c r="A25" t="s">
        <v>286</v>
      </c>
      <c r="B25" s="121">
        <v>7.4</v>
      </c>
      <c r="C25" s="121">
        <v>2.44</v>
      </c>
      <c r="E25" s="4">
        <v>1750</v>
      </c>
      <c r="L25" s="218">
        <f>E25/C25</f>
        <v>717.2131147540983</v>
      </c>
      <c r="M25" s="4">
        <v>1899</v>
      </c>
      <c r="N25" s="4">
        <v>2019</v>
      </c>
      <c r="O25" s="4">
        <v>1770</v>
      </c>
    </row>
    <row r="26" spans="1:26" ht="12.75">
      <c r="A26" t="s">
        <v>287</v>
      </c>
      <c r="B26" s="121">
        <v>7.31</v>
      </c>
      <c r="C26" s="121">
        <v>2.43</v>
      </c>
      <c r="D26" s="4">
        <v>11.9</v>
      </c>
      <c r="E26" s="4">
        <v>1491</v>
      </c>
      <c r="F26" s="229">
        <f>D26*B26^0.5/(42.305)</f>
        <v>0.7605257980460451</v>
      </c>
      <c r="K26" s="218">
        <f>E26*0.75/F26</f>
        <v>1470.36432277909</v>
      </c>
      <c r="L26" s="231">
        <f>K26/C26</f>
        <v>605.0881986745226</v>
      </c>
      <c r="M26" s="4">
        <v>1833</v>
      </c>
      <c r="N26" s="4">
        <v>1949</v>
      </c>
      <c r="O26" s="4">
        <v>1708</v>
      </c>
      <c r="P26" s="218">
        <f>M26/C26</f>
        <v>754.3209876543209</v>
      </c>
      <c r="Q26" s="218">
        <f>N26/C26</f>
        <v>802.0576131687242</v>
      </c>
      <c r="R26" s="218">
        <f>O26/C26</f>
        <v>702.8806584362139</v>
      </c>
      <c r="S26" s="218">
        <f>P26-$L26</f>
        <v>149.23278897979833</v>
      </c>
      <c r="T26" s="218">
        <f>Q26-$L26</f>
        <v>196.9694144942016</v>
      </c>
      <c r="U26" s="218">
        <f>R26-$L26</f>
        <v>97.79245976169136</v>
      </c>
      <c r="V26" s="232">
        <f>P26/$L26</f>
        <v>1.2466298124913038</v>
      </c>
      <c r="W26" s="232">
        <f>Q26/$L26</f>
        <v>1.325521824629324</v>
      </c>
      <c r="X26" s="232">
        <f>R26/$L26</f>
        <v>1.1616168683770578</v>
      </c>
      <c r="Y26" s="233">
        <f>X26</f>
        <v>1.1616168683770578</v>
      </c>
      <c r="Z26" s="229">
        <f>R26/P26</f>
        <v>0.9318057828696127</v>
      </c>
    </row>
    <row r="27" spans="1:15" ht="12.75">
      <c r="A27" t="s">
        <v>286</v>
      </c>
      <c r="B27" s="121">
        <v>6.7</v>
      </c>
      <c r="C27" s="121">
        <v>2.44</v>
      </c>
      <c r="E27" s="4">
        <v>1450</v>
      </c>
      <c r="L27" s="218">
        <f>E27/C27</f>
        <v>594.2622950819672</v>
      </c>
      <c r="M27" s="4">
        <v>1469</v>
      </c>
      <c r="N27" s="4">
        <v>1563</v>
      </c>
      <c r="O27" s="4">
        <v>1366</v>
      </c>
    </row>
    <row r="28" spans="1:15" ht="12.75">
      <c r="A28" t="s">
        <v>286</v>
      </c>
      <c r="B28" s="121">
        <v>6.7</v>
      </c>
      <c r="C28" s="121">
        <v>2.13</v>
      </c>
      <c r="E28" s="4">
        <v>1300</v>
      </c>
      <c r="L28" s="218">
        <f>E28/C28</f>
        <v>610.3286384976526</v>
      </c>
      <c r="M28" s="4">
        <v>1288</v>
      </c>
      <c r="N28" s="4">
        <v>1371</v>
      </c>
      <c r="O28" s="4">
        <v>1211</v>
      </c>
    </row>
    <row r="29" spans="1:15" ht="12.75">
      <c r="A29" t="s">
        <v>286</v>
      </c>
      <c r="B29" s="121">
        <v>6.1</v>
      </c>
      <c r="C29" s="121">
        <v>2.13</v>
      </c>
      <c r="E29" s="4">
        <v>1200</v>
      </c>
      <c r="L29" s="218">
        <f>E29/C29</f>
        <v>563.3802816901409</v>
      </c>
      <c r="M29" s="4">
        <v>1010</v>
      </c>
      <c r="N29" s="4">
        <v>1078</v>
      </c>
      <c r="O29" s="4">
        <v>948</v>
      </c>
    </row>
    <row r="30" spans="1:26" ht="12.75">
      <c r="A30" t="s">
        <v>287</v>
      </c>
      <c r="B30" s="121">
        <v>6.4</v>
      </c>
      <c r="C30" s="121">
        <v>2.43</v>
      </c>
      <c r="D30" s="4">
        <v>11.9</v>
      </c>
      <c r="E30" s="4">
        <v>1043</v>
      </c>
      <c r="F30" s="229">
        <f>D30*B30^0.5/(42.305)</f>
        <v>0.7116152541024222</v>
      </c>
      <c r="K30" s="218">
        <f>E30*0.75/F30</f>
        <v>1099.259741117651</v>
      </c>
      <c r="L30" s="231">
        <f>K30/C30</f>
        <v>452.37026383442424</v>
      </c>
      <c r="M30" s="4">
        <v>1299</v>
      </c>
      <c r="N30" s="4">
        <v>1384</v>
      </c>
      <c r="O30" s="4">
        <v>1208</v>
      </c>
      <c r="P30" s="218">
        <f>M30/C30</f>
        <v>534.5679012345679</v>
      </c>
      <c r="Q30" s="218">
        <f>N30/C30</f>
        <v>569.5473251028807</v>
      </c>
      <c r="R30" s="218">
        <f>O30/C30</f>
        <v>497.11934156378595</v>
      </c>
      <c r="S30" s="218">
        <f>P30-$L30</f>
        <v>82.19763740014366</v>
      </c>
      <c r="T30" s="218">
        <f>Q30-$L30</f>
        <v>117.17706126845644</v>
      </c>
      <c r="U30" s="218">
        <f>R30-$L30</f>
        <v>44.749077729361716</v>
      </c>
      <c r="V30" s="232">
        <f>P30/$L30</f>
        <v>1.1817043337539743</v>
      </c>
      <c r="W30" s="232">
        <f>Q30/$L30</f>
        <v>1.2590290977024639</v>
      </c>
      <c r="X30" s="232">
        <f>R30/$L30</f>
        <v>1.0989213511738267</v>
      </c>
      <c r="Y30" s="233">
        <f>X30</f>
        <v>1.0989213511738267</v>
      </c>
      <c r="Z30" s="229">
        <f>R30/P30</f>
        <v>0.9299461123941493</v>
      </c>
    </row>
    <row r="31" spans="1:15" ht="12.75">
      <c r="A31" t="s">
        <v>286</v>
      </c>
      <c r="B31" s="121">
        <v>6.1</v>
      </c>
      <c r="C31" s="121">
        <v>1.83</v>
      </c>
      <c r="E31" s="4">
        <v>1000</v>
      </c>
      <c r="L31" s="218">
        <f>E31/C31</f>
        <v>546.4480874316939</v>
      </c>
      <c r="M31" s="4">
        <v>872</v>
      </c>
      <c r="N31" s="4">
        <v>933</v>
      </c>
      <c r="O31" s="4">
        <v>830</v>
      </c>
    </row>
    <row r="32" spans="1:15" ht="12.75">
      <c r="A32" t="s">
        <v>286</v>
      </c>
      <c r="B32" s="121">
        <v>5.5</v>
      </c>
      <c r="C32" s="121">
        <v>2.44</v>
      </c>
      <c r="E32" s="4">
        <v>900</v>
      </c>
      <c r="L32" s="218">
        <f>E32/C32</f>
        <v>368.8524590163934</v>
      </c>
      <c r="M32" s="4">
        <v>881</v>
      </c>
      <c r="N32" s="4">
        <v>943</v>
      </c>
      <c r="O32" s="4">
        <v>818</v>
      </c>
    </row>
    <row r="33" spans="1:15" ht="12.75">
      <c r="A33" t="s">
        <v>286</v>
      </c>
      <c r="B33" s="121">
        <v>5.5</v>
      </c>
      <c r="C33" s="121">
        <v>1.83</v>
      </c>
      <c r="E33" s="4">
        <v>700</v>
      </c>
      <c r="L33" s="218">
        <f>E33/C33</f>
        <v>382.5136612021858</v>
      </c>
      <c r="M33" s="4">
        <v>666</v>
      </c>
      <c r="N33" s="4">
        <v>714</v>
      </c>
      <c r="O33" s="4">
        <v>633</v>
      </c>
    </row>
    <row r="34" spans="1:15" ht="12.75">
      <c r="A34" t="s">
        <v>286</v>
      </c>
      <c r="B34" s="121">
        <v>4.9</v>
      </c>
      <c r="C34" s="121">
        <v>2.13</v>
      </c>
      <c r="E34" s="4">
        <v>650</v>
      </c>
      <c r="L34" s="218">
        <f>E34/C34</f>
        <v>305.1643192488263</v>
      </c>
      <c r="M34" s="4">
        <v>571</v>
      </c>
      <c r="N34" s="4">
        <v>619</v>
      </c>
      <c r="O34" s="4">
        <v>536</v>
      </c>
    </row>
    <row r="35" spans="1:15" ht="12.75">
      <c r="A35" t="s">
        <v>286</v>
      </c>
      <c r="B35" s="121">
        <v>4.9</v>
      </c>
      <c r="C35" s="121">
        <v>1.83</v>
      </c>
      <c r="E35" s="4">
        <v>600</v>
      </c>
      <c r="L35" s="218">
        <f>E35/C35</f>
        <v>327.86885245901635</v>
      </c>
      <c r="M35" s="4">
        <v>493</v>
      </c>
      <c r="N35" s="4">
        <v>531</v>
      </c>
      <c r="O35" s="4">
        <v>468</v>
      </c>
    </row>
    <row r="36" spans="1:26" ht="12.75">
      <c r="A36" t="s">
        <v>287</v>
      </c>
      <c r="B36" s="121">
        <v>5.48</v>
      </c>
      <c r="C36" s="121">
        <v>2.13</v>
      </c>
      <c r="D36" s="4">
        <v>13.04</v>
      </c>
      <c r="E36" s="4">
        <v>521</v>
      </c>
      <c r="F36" s="229">
        <f>D36*B36^0.5/(42.305)</f>
        <v>0.7215661828898896</v>
      </c>
      <c r="K36" s="218">
        <f>E36*0.75/F36</f>
        <v>541.5303672284599</v>
      </c>
      <c r="L36" s="231">
        <f>K36/C36</f>
        <v>254.23960902744597</v>
      </c>
      <c r="M36" s="4">
        <v>764</v>
      </c>
      <c r="N36" s="4">
        <v>819</v>
      </c>
      <c r="O36" s="4">
        <v>717</v>
      </c>
      <c r="P36" s="218">
        <f>M36/C36</f>
        <v>358.6854460093897</v>
      </c>
      <c r="Q36" s="218">
        <f>N36/C36</f>
        <v>384.50704225352115</v>
      </c>
      <c r="R36" s="218">
        <f>O36/C36</f>
        <v>336.6197183098592</v>
      </c>
      <c r="S36" s="218">
        <f>P36-$L36</f>
        <v>104.44583698194373</v>
      </c>
      <c r="T36" s="218">
        <f>Q36-$L36</f>
        <v>130.26743322607518</v>
      </c>
      <c r="U36" s="218">
        <f>R36-$L36</f>
        <v>82.38010928241323</v>
      </c>
      <c r="V36" s="232">
        <f>P36/$L36</f>
        <v>1.4108165418499699</v>
      </c>
      <c r="W36" s="232">
        <f>Q36/$L36</f>
        <v>1.5123805599150855</v>
      </c>
      <c r="X36" s="232">
        <f>R36/$L36</f>
        <v>1.324025471867053</v>
      </c>
      <c r="Y36" s="233">
        <f>X36</f>
        <v>1.324025471867053</v>
      </c>
      <c r="Z36" s="229">
        <f>R36/P36</f>
        <v>0.9384816753926702</v>
      </c>
    </row>
    <row r="37" spans="1:15" ht="12.75">
      <c r="A37" t="s">
        <v>286</v>
      </c>
      <c r="B37" s="121">
        <v>4.3</v>
      </c>
      <c r="C37" s="121">
        <v>1.83</v>
      </c>
      <c r="E37" s="4">
        <v>375</v>
      </c>
      <c r="L37" s="218">
        <f>E37/C37</f>
        <v>204.91803278688525</v>
      </c>
      <c r="M37" s="4">
        <v>350</v>
      </c>
      <c r="N37" s="4">
        <v>380</v>
      </c>
      <c r="O37" s="4">
        <v>333</v>
      </c>
    </row>
    <row r="38" spans="1:15" ht="12.75">
      <c r="A38" t="s">
        <v>286</v>
      </c>
      <c r="B38" s="121">
        <v>4.3</v>
      </c>
      <c r="C38" s="121">
        <v>1.5</v>
      </c>
      <c r="E38" s="4">
        <v>300</v>
      </c>
      <c r="L38" s="218">
        <f>E38/C38</f>
        <v>200</v>
      </c>
      <c r="M38" s="4">
        <v>289</v>
      </c>
      <c r="N38" s="4">
        <v>313</v>
      </c>
      <c r="O38" s="4">
        <v>279</v>
      </c>
    </row>
    <row r="39" spans="1:15" ht="12.75">
      <c r="A39" t="s">
        <v>286</v>
      </c>
      <c r="B39" s="121">
        <v>3.66</v>
      </c>
      <c r="C39" s="121">
        <v>1.83</v>
      </c>
      <c r="E39" s="4">
        <v>250</v>
      </c>
      <c r="L39" s="218">
        <f>E39/C39</f>
        <v>136.61202185792348</v>
      </c>
      <c r="M39" s="4">
        <v>230</v>
      </c>
      <c r="N39" s="4">
        <v>251</v>
      </c>
      <c r="O39" s="4">
        <v>218</v>
      </c>
    </row>
    <row r="40" spans="1:15" ht="12.75">
      <c r="A40" t="s">
        <v>286</v>
      </c>
      <c r="B40" s="121">
        <v>3.66</v>
      </c>
      <c r="C40" s="121">
        <v>1.5</v>
      </c>
      <c r="E40" s="4">
        <v>220</v>
      </c>
      <c r="L40" s="218">
        <f>E40/C40</f>
        <v>146.66666666666666</v>
      </c>
      <c r="M40" s="4">
        <v>189</v>
      </c>
      <c r="N40" s="4">
        <v>202</v>
      </c>
      <c r="O40" s="4">
        <v>183</v>
      </c>
    </row>
    <row r="41" spans="1:15" ht="12.75">
      <c r="A41" t="s">
        <v>288</v>
      </c>
      <c r="B41" s="121">
        <v>5.48</v>
      </c>
      <c r="C41" s="121">
        <v>1.83</v>
      </c>
      <c r="L41" s="218"/>
      <c r="M41" s="4">
        <v>660</v>
      </c>
      <c r="N41" s="4">
        <v>708</v>
      </c>
      <c r="O41" s="4">
        <v>627</v>
      </c>
    </row>
    <row r="42" spans="1:15" ht="12.75">
      <c r="A42" t="s">
        <v>288</v>
      </c>
      <c r="B42" s="121">
        <v>6.71</v>
      </c>
      <c r="C42" s="121">
        <v>2.13</v>
      </c>
      <c r="L42" s="218"/>
      <c r="M42" s="4">
        <v>1293</v>
      </c>
      <c r="N42" s="4">
        <v>1378</v>
      </c>
      <c r="O42" s="4">
        <v>1216</v>
      </c>
    </row>
    <row r="43" spans="1:15" ht="12.75">
      <c r="A43" t="s">
        <v>288</v>
      </c>
      <c r="B43" s="121">
        <v>7.31</v>
      </c>
      <c r="C43" s="121">
        <v>2.44</v>
      </c>
      <c r="L43" s="218"/>
      <c r="M43" s="4">
        <v>1840</v>
      </c>
      <c r="N43" s="4">
        <v>1953</v>
      </c>
      <c r="O43" s="4">
        <v>1714</v>
      </c>
    </row>
    <row r="44" spans="1:15" ht="12.75">
      <c r="A44" t="s">
        <v>288</v>
      </c>
      <c r="B44" s="121">
        <v>7.92</v>
      </c>
      <c r="C44" s="121">
        <v>3.08</v>
      </c>
      <c r="L44" s="218"/>
      <c r="M44" s="4">
        <v>2837</v>
      </c>
      <c r="N44" s="4">
        <v>3000</v>
      </c>
      <c r="O44" s="4">
        <v>2597</v>
      </c>
    </row>
    <row r="45" spans="1:15" ht="12.75">
      <c r="A45" t="s">
        <v>288</v>
      </c>
      <c r="B45" s="121">
        <v>8.22</v>
      </c>
      <c r="C45" s="121">
        <v>3.35</v>
      </c>
      <c r="L45" s="218"/>
      <c r="M45" s="4">
        <v>3387</v>
      </c>
      <c r="N45" s="4">
        <v>3577</v>
      </c>
      <c r="O45" s="4">
        <v>3084</v>
      </c>
    </row>
    <row r="46" spans="1:15" ht="12.75">
      <c r="A46" t="s">
        <v>288</v>
      </c>
      <c r="B46" s="121">
        <v>8.53</v>
      </c>
      <c r="C46" s="121">
        <v>3.66</v>
      </c>
      <c r="L46" s="218"/>
      <c r="M46" s="4">
        <v>4061</v>
      </c>
      <c r="N46" s="4">
        <v>4283</v>
      </c>
      <c r="O46" s="4">
        <v>3676</v>
      </c>
    </row>
    <row r="47" spans="1:15" ht="12.75">
      <c r="A47" t="s">
        <v>288</v>
      </c>
      <c r="B47" s="121">
        <v>9.75</v>
      </c>
      <c r="C47" s="121">
        <v>4.27</v>
      </c>
      <c r="L47" s="218"/>
      <c r="M47" s="4">
        <v>6652</v>
      </c>
      <c r="N47" s="4">
        <v>6991</v>
      </c>
      <c r="O47" s="4">
        <v>5971</v>
      </c>
    </row>
    <row r="48" spans="1:15" ht="12.75">
      <c r="A48" t="s">
        <v>288</v>
      </c>
      <c r="B48" s="121">
        <v>10.36</v>
      </c>
      <c r="C48" s="121">
        <v>4.57</v>
      </c>
      <c r="L48" s="218"/>
      <c r="M48" s="4">
        <v>8303</v>
      </c>
      <c r="N48" s="4">
        <v>8719</v>
      </c>
      <c r="O48" s="4">
        <v>7427</v>
      </c>
    </row>
    <row r="49" spans="1:15" ht="12.75">
      <c r="A49" t="s">
        <v>288</v>
      </c>
      <c r="B49" s="121">
        <v>10.97</v>
      </c>
      <c r="C49" s="121">
        <v>4.57</v>
      </c>
      <c r="L49" s="218"/>
      <c r="M49" s="4">
        <v>9614</v>
      </c>
      <c r="N49" s="4">
        <v>10082</v>
      </c>
      <c r="O49" s="4">
        <v>8609</v>
      </c>
    </row>
    <row r="50" spans="1:26" ht="12.75">
      <c r="A50" t="s">
        <v>286</v>
      </c>
      <c r="B50" s="121">
        <v>8.53</v>
      </c>
      <c r="C50" s="121">
        <v>3.66</v>
      </c>
      <c r="D50" s="4" t="s">
        <v>289</v>
      </c>
      <c r="E50" s="4">
        <v>4800</v>
      </c>
      <c r="F50" s="4" t="s">
        <v>289</v>
      </c>
      <c r="G50" s="380">
        <v>35551</v>
      </c>
      <c r="H50"/>
      <c r="I50"/>
      <c r="K50"/>
      <c r="L50" s="218"/>
      <c r="M50"/>
      <c r="N50"/>
      <c r="O50"/>
      <c r="Y50"/>
      <c r="Z50"/>
    </row>
    <row r="51" spans="1:12" ht="12.75">
      <c r="A51" t="s">
        <v>290</v>
      </c>
      <c r="B51" s="121">
        <v>4</v>
      </c>
      <c r="C51" s="121">
        <v>2</v>
      </c>
      <c r="E51" s="4">
        <v>500</v>
      </c>
      <c r="G51" s="421">
        <v>35674</v>
      </c>
      <c r="H51" s="422">
        <v>1056000</v>
      </c>
      <c r="I51" s="422"/>
      <c r="J51" s="422"/>
      <c r="L51" s="218"/>
    </row>
    <row r="52" spans="1:12" ht="12.75">
      <c r="A52" t="s">
        <v>291</v>
      </c>
      <c r="B52" s="121">
        <v>9.6</v>
      </c>
      <c r="C52" s="121">
        <v>5.5</v>
      </c>
      <c r="E52" s="4">
        <v>8800</v>
      </c>
      <c r="G52"/>
      <c r="H52" s="422">
        <v>7060000</v>
      </c>
      <c r="I52" s="422">
        <v>970000</v>
      </c>
      <c r="J52" s="422">
        <v>440000</v>
      </c>
      <c r="L52" s="218"/>
    </row>
    <row r="53" spans="1:12" ht="12.75">
      <c r="A53" t="s">
        <v>291</v>
      </c>
      <c r="B53" s="121">
        <v>9.54</v>
      </c>
      <c r="C53" s="121">
        <v>5.6</v>
      </c>
      <c r="E53" s="4">
        <v>8600</v>
      </c>
      <c r="G53" s="230" t="s">
        <v>292</v>
      </c>
      <c r="H53" s="422"/>
      <c r="I53" s="422"/>
      <c r="J53" s="422"/>
      <c r="L53" s="218"/>
    </row>
    <row r="54" spans="1:12" ht="12.75">
      <c r="A54" t="s">
        <v>291</v>
      </c>
      <c r="B54" s="121">
        <v>9.54</v>
      </c>
      <c r="C54" s="121">
        <v>5.6</v>
      </c>
      <c r="E54" s="4">
        <v>7000</v>
      </c>
      <c r="G54" s="230" t="s">
        <v>293</v>
      </c>
      <c r="H54" s="422"/>
      <c r="I54" s="422"/>
      <c r="J54" s="422"/>
      <c r="L54" s="218"/>
    </row>
    <row r="55" spans="1:12" ht="12.75">
      <c r="A55" t="s">
        <v>291</v>
      </c>
      <c r="B55" s="121">
        <v>7.3</v>
      </c>
      <c r="C55" s="121">
        <v>3.5</v>
      </c>
      <c r="E55" s="4">
        <v>2800</v>
      </c>
      <c r="G55" s="230" t="s">
        <v>294</v>
      </c>
      <c r="H55" s="422"/>
      <c r="I55" s="422"/>
      <c r="J55" s="422"/>
      <c r="L55" s="218"/>
    </row>
    <row r="56" spans="1:12" ht="12.75">
      <c r="A56" t="s">
        <v>288</v>
      </c>
      <c r="B56" s="121">
        <v>10.3</v>
      </c>
      <c r="C56" s="121"/>
      <c r="E56" s="4">
        <v>10000</v>
      </c>
      <c r="H56" s="422"/>
      <c r="I56" s="422"/>
      <c r="J56" s="422"/>
      <c r="L56" s="218"/>
    </row>
    <row r="57" spans="1:12" ht="12.75">
      <c r="A57" t="s">
        <v>288</v>
      </c>
      <c r="B57" s="121">
        <v>10.9</v>
      </c>
      <c r="C57" s="121"/>
      <c r="E57" s="4">
        <v>12000</v>
      </c>
      <c r="H57" s="422"/>
      <c r="I57" s="422"/>
      <c r="J57" s="422"/>
      <c r="L57" s="218"/>
    </row>
    <row r="58" spans="1:10" ht="12.75">
      <c r="A58" t="s">
        <v>288</v>
      </c>
      <c r="B58" s="121">
        <v>10.9</v>
      </c>
      <c r="C58" s="121"/>
      <c r="E58" s="4">
        <v>12000</v>
      </c>
      <c r="H58" s="422"/>
      <c r="I58" s="422"/>
      <c r="J58" s="422"/>
    </row>
    <row r="59" spans="1:10" ht="12.75">
      <c r="A59" t="s">
        <v>288</v>
      </c>
      <c r="B59" s="4">
        <v>10.9</v>
      </c>
      <c r="E59" s="4">
        <v>13500</v>
      </c>
      <c r="H59" s="422"/>
      <c r="I59" s="422"/>
      <c r="J59" s="422"/>
    </row>
    <row r="60" spans="1:28" ht="12.75">
      <c r="A60" t="s">
        <v>287</v>
      </c>
      <c r="B60" s="121">
        <v>12.1</v>
      </c>
      <c r="C60" s="121">
        <v>6.67</v>
      </c>
      <c r="D60"/>
      <c r="E60" s="218">
        <v>19396</v>
      </c>
      <c r="AA60" t="s">
        <v>295</v>
      </c>
      <c r="AB60">
        <v>96</v>
      </c>
    </row>
    <row r="61" spans="1:28" ht="12.75">
      <c r="A61" t="s">
        <v>287</v>
      </c>
      <c r="B61" s="121">
        <v>11.5</v>
      </c>
      <c r="C61" s="121">
        <v>7.73</v>
      </c>
      <c r="E61" s="218">
        <v>17993.52</v>
      </c>
      <c r="AA61" t="s">
        <v>295</v>
      </c>
      <c r="AB61">
        <v>96</v>
      </c>
    </row>
    <row r="62" spans="1:28" ht="12.75">
      <c r="A62" t="s">
        <v>287</v>
      </c>
      <c r="B62" s="121">
        <v>11.5</v>
      </c>
      <c r="C62" s="121">
        <v>6.06</v>
      </c>
      <c r="E62" s="218">
        <v>19396</v>
      </c>
      <c r="AA62" t="s">
        <v>296</v>
      </c>
      <c r="AB62">
        <v>96</v>
      </c>
    </row>
    <row r="63" spans="1:28" ht="12.75">
      <c r="A63" t="s">
        <v>287</v>
      </c>
      <c r="B63" s="121">
        <v>10.9</v>
      </c>
      <c r="C63" s="121">
        <v>5.76</v>
      </c>
      <c r="E63" s="218">
        <v>13428</v>
      </c>
      <c r="AA63" t="s">
        <v>296</v>
      </c>
      <c r="AB63">
        <v>97</v>
      </c>
    </row>
    <row r="64" spans="1:28" ht="12.75">
      <c r="A64" t="s">
        <v>287</v>
      </c>
      <c r="B64" s="121">
        <v>10.9</v>
      </c>
      <c r="C64" s="121">
        <v>5.06</v>
      </c>
      <c r="E64" s="218">
        <v>11936</v>
      </c>
      <c r="AA64" t="s">
        <v>297</v>
      </c>
      <c r="AB64">
        <v>96</v>
      </c>
    </row>
    <row r="65" spans="1:28" ht="12.75">
      <c r="A65" t="s">
        <v>287</v>
      </c>
      <c r="B65" s="121">
        <v>10.9</v>
      </c>
      <c r="C65" s="121">
        <v>5.06</v>
      </c>
      <c r="E65" s="218">
        <v>11936</v>
      </c>
      <c r="AA65" t="s">
        <v>297</v>
      </c>
      <c r="AB65">
        <v>95</v>
      </c>
    </row>
    <row r="66" spans="1:28" ht="12.75">
      <c r="A66" t="s">
        <v>287</v>
      </c>
      <c r="B66" s="121">
        <v>10.9</v>
      </c>
      <c r="C66" s="121">
        <v>5.76</v>
      </c>
      <c r="E66" s="218">
        <v>13428</v>
      </c>
      <c r="AA66" t="s">
        <v>298</v>
      </c>
      <c r="AB66">
        <v>95</v>
      </c>
    </row>
    <row r="67" spans="1:28" ht="12.75">
      <c r="A67" t="s">
        <v>287</v>
      </c>
      <c r="B67" s="121">
        <v>10.9</v>
      </c>
      <c r="C67" s="121">
        <v>5.76</v>
      </c>
      <c r="E67" s="218">
        <v>13428</v>
      </c>
      <c r="AA67" t="s">
        <v>299</v>
      </c>
      <c r="AB67">
        <v>94</v>
      </c>
    </row>
    <row r="68" spans="1:28" ht="12.75">
      <c r="A68" t="s">
        <v>287</v>
      </c>
      <c r="B68" s="121">
        <v>10.9</v>
      </c>
      <c r="C68" s="121">
        <v>5.06</v>
      </c>
      <c r="E68" s="218">
        <v>11936</v>
      </c>
      <c r="AA68" t="s">
        <v>297</v>
      </c>
      <c r="AB68">
        <v>91</v>
      </c>
    </row>
    <row r="69" spans="1:28" ht="12.75">
      <c r="A69" t="s">
        <v>287</v>
      </c>
      <c r="B69" s="121">
        <v>10.9</v>
      </c>
      <c r="C69" s="4">
        <v>5.67</v>
      </c>
      <c r="E69" s="218">
        <v>11936</v>
      </c>
      <c r="AA69" t="s">
        <v>300</v>
      </c>
      <c r="AB69">
        <v>90</v>
      </c>
    </row>
    <row r="70" spans="1:28" ht="12.75">
      <c r="A70" t="s">
        <v>287</v>
      </c>
      <c r="B70" s="121">
        <v>10.9</v>
      </c>
      <c r="C70" s="4">
        <v>5.15</v>
      </c>
      <c r="E70" s="218">
        <v>11190</v>
      </c>
      <c r="AA70" t="s">
        <v>297</v>
      </c>
      <c r="AB70">
        <v>87</v>
      </c>
    </row>
    <row r="71" spans="1:28" ht="12.75">
      <c r="A71" t="s">
        <v>287</v>
      </c>
      <c r="B71" s="121">
        <v>10.9</v>
      </c>
      <c r="C71" s="4">
        <v>4.54</v>
      </c>
      <c r="E71" s="218">
        <v>8952</v>
      </c>
      <c r="AA71" t="s">
        <v>301</v>
      </c>
      <c r="AB71">
        <v>75</v>
      </c>
    </row>
    <row r="72" spans="1:28" ht="12.75">
      <c r="A72" t="s">
        <v>287</v>
      </c>
      <c r="B72" s="121">
        <v>10.9</v>
      </c>
      <c r="C72" s="4">
        <v>4.54</v>
      </c>
      <c r="E72" s="218">
        <v>8952</v>
      </c>
      <c r="AA72" t="s">
        <v>301</v>
      </c>
      <c r="AB72">
        <v>73</v>
      </c>
    </row>
    <row r="73" spans="1:28" ht="12.75">
      <c r="A73" t="s">
        <v>287</v>
      </c>
      <c r="B73" s="121">
        <v>10.3</v>
      </c>
      <c r="C73" s="4">
        <v>4.54</v>
      </c>
      <c r="E73" s="218">
        <v>5595</v>
      </c>
      <c r="AA73" t="s">
        <v>302</v>
      </c>
      <c r="AB73">
        <v>97</v>
      </c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2" fitToWidth="1" horizontalDpi="300" verticalDpi="300" orientation="portrait" paperSize="9" scale="65" r:id="rId1"/>
  <headerFooter alignWithMargins="0">
    <oddHeader xml:space="preserve">&amp;C  </oddHeader>
    <oddFooter>&amp;L           &amp;A &amp;F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showZeros="0" zoomScale="75" zoomScaleNormal="75" workbookViewId="0" topLeftCell="A1">
      <selection activeCell="K53" sqref="K53"/>
    </sheetView>
  </sheetViews>
  <sheetFormatPr defaultColWidth="9.140625" defaultRowHeight="12.75"/>
  <cols>
    <col min="1" max="1" width="28.8515625" style="0" customWidth="1"/>
    <col min="2" max="2" width="7.57421875" style="0" customWidth="1"/>
    <col min="4" max="4" width="14.7109375" style="0" customWidth="1"/>
    <col min="5" max="5" width="9.28125" style="0" customWidth="1"/>
    <col min="6" max="6" width="11.00390625" style="0" customWidth="1"/>
    <col min="7" max="7" width="9.8515625" style="0" customWidth="1"/>
    <col min="8" max="8" width="8.57421875" style="0" customWidth="1"/>
  </cols>
  <sheetData>
    <row r="1" spans="1:20" ht="17.25" customHeight="1" thickBot="1" thickTop="1">
      <c r="A1" s="241" t="s">
        <v>0</v>
      </c>
      <c r="B1" s="478"/>
      <c r="C1" s="476"/>
      <c r="D1" s="477"/>
      <c r="E1" s="240" t="s">
        <v>1</v>
      </c>
      <c r="F1" s="430"/>
      <c r="R1" s="2"/>
      <c r="S1" s="2"/>
      <c r="T1" s="2"/>
    </row>
    <row r="2" spans="1:20" ht="16.5" customHeight="1">
      <c r="A2" s="485" t="s">
        <v>7</v>
      </c>
      <c r="B2" s="486"/>
      <c r="C2" s="491" t="s">
        <v>8</v>
      </c>
      <c r="D2" s="489"/>
      <c r="E2" s="490"/>
      <c r="F2" s="492"/>
      <c r="G2" s="4"/>
      <c r="J2" s="577" t="s">
        <v>5</v>
      </c>
      <c r="K2" s="574" t="s">
        <v>495</v>
      </c>
      <c r="L2" s="574" t="s">
        <v>317</v>
      </c>
      <c r="M2" s="574" t="s">
        <v>13</v>
      </c>
      <c r="N2" s="574" t="s">
        <v>496</v>
      </c>
      <c r="O2" s="574" t="s">
        <v>12</v>
      </c>
      <c r="P2" s="575" t="s">
        <v>497</v>
      </c>
      <c r="Q2" s="575" t="s">
        <v>498</v>
      </c>
      <c r="R2" s="576" t="s">
        <v>499</v>
      </c>
      <c r="S2" s="577" t="s">
        <v>239</v>
      </c>
      <c r="T2" s="2"/>
    </row>
    <row r="3" spans="1:20" ht="15" customHeight="1">
      <c r="A3" s="493"/>
      <c r="B3" s="541" t="s">
        <v>9</v>
      </c>
      <c r="C3" s="533"/>
      <c r="D3" s="480"/>
      <c r="E3" s="124" t="s">
        <v>10</v>
      </c>
      <c r="F3" s="237"/>
      <c r="J3" s="588">
        <f>B33</f>
        <v>0</v>
      </c>
      <c r="K3" s="589"/>
      <c r="L3" s="590">
        <f>B34</f>
        <v>0</v>
      </c>
      <c r="M3" s="589" t="s">
        <v>502</v>
      </c>
      <c r="N3" s="591">
        <f>F44</f>
        <v>0</v>
      </c>
      <c r="O3" s="589" t="s">
        <v>500</v>
      </c>
      <c r="P3" s="592">
        <f>L3*(11.7*(J3)-13.9)+N3</f>
        <v>0</v>
      </c>
      <c r="Q3" s="593">
        <f>P3*3/2.2</f>
        <v>0</v>
      </c>
      <c r="R3" s="594"/>
      <c r="S3" s="595">
        <f>F58</f>
        <v>0</v>
      </c>
      <c r="T3" s="2"/>
    </row>
    <row r="4" spans="1:20" ht="13.5" customHeight="1">
      <c r="A4" s="34"/>
      <c r="B4" s="542" t="s">
        <v>20</v>
      </c>
      <c r="C4" s="488"/>
      <c r="D4" s="481"/>
      <c r="E4" s="124" t="s">
        <v>21</v>
      </c>
      <c r="F4" s="238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</row>
    <row r="5" spans="1:20" ht="12.75" customHeight="1" thickBot="1">
      <c r="A5" s="60"/>
      <c r="B5" s="494" t="s">
        <v>25</v>
      </c>
      <c r="C5" s="479">
        <v>1</v>
      </c>
      <c r="D5" s="474"/>
      <c r="E5" s="236" t="s">
        <v>26</v>
      </c>
      <c r="F5" s="23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</row>
    <row r="6" spans="1:20" ht="12.75" customHeight="1" thickBot="1" thickTop="1">
      <c r="A6" s="7"/>
      <c r="B6" s="7"/>
      <c r="C6" s="7"/>
      <c r="D6" s="7"/>
      <c r="E6" s="7"/>
      <c r="F6" s="7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ht="18.75" customHeight="1" thickBot="1" thickTop="1">
      <c r="A7" s="426" t="s">
        <v>303</v>
      </c>
      <c r="B7" s="427"/>
      <c r="C7" s="427"/>
      <c r="D7" s="427"/>
      <c r="E7" s="427"/>
      <c r="F7" s="428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15" customHeight="1">
      <c r="A8" s="34"/>
      <c r="B8" s="5"/>
      <c r="C8" s="5"/>
      <c r="D8" s="9"/>
      <c r="E8" s="9"/>
      <c r="F8" s="246"/>
      <c r="G8" s="9"/>
      <c r="N8" s="1"/>
      <c r="O8" s="1"/>
      <c r="P8" s="1"/>
      <c r="Q8" s="1"/>
      <c r="R8" s="2"/>
      <c r="S8" s="2"/>
      <c r="T8" s="2"/>
    </row>
    <row r="9" spans="1:17" ht="12.75">
      <c r="A9" s="35" t="s">
        <v>41</v>
      </c>
      <c r="B9" s="434"/>
      <c r="C9" s="129"/>
      <c r="D9" s="5"/>
      <c r="E9" s="54"/>
      <c r="F9" s="36"/>
      <c r="G9" s="12"/>
      <c r="H9" s="9"/>
      <c r="N9" s="1"/>
      <c r="O9" s="1"/>
      <c r="P9" s="1"/>
      <c r="Q9" s="1"/>
    </row>
    <row r="10" spans="1:17" ht="12.75">
      <c r="A10" s="35" t="s">
        <v>44</v>
      </c>
      <c r="B10" s="435"/>
      <c r="C10" s="71"/>
      <c r="D10" s="75"/>
      <c r="E10" s="52"/>
      <c r="F10" s="36"/>
      <c r="G10" s="12"/>
      <c r="H10" s="9"/>
      <c r="I10" s="9"/>
      <c r="J10" s="9"/>
      <c r="K10" s="9"/>
      <c r="L10" s="9"/>
      <c r="M10" s="9"/>
      <c r="N10" s="1"/>
      <c r="O10" s="1"/>
      <c r="P10" s="1"/>
      <c r="Q10" s="1"/>
    </row>
    <row r="11" spans="1:14" ht="15.75">
      <c r="A11" s="72" t="s">
        <v>48</v>
      </c>
      <c r="B11" s="434"/>
      <c r="C11" s="49"/>
      <c r="D11" s="75"/>
      <c r="E11" s="19"/>
      <c r="F11" s="37"/>
      <c r="G11" s="9"/>
      <c r="H11" s="2"/>
      <c r="N11" s="2"/>
    </row>
    <row r="12" spans="1:17" ht="15" customHeight="1">
      <c r="A12" s="72" t="s">
        <v>51</v>
      </c>
      <c r="B12" s="434"/>
      <c r="C12" s="129"/>
      <c r="D12" s="145"/>
      <c r="E12" s="130"/>
      <c r="F12" s="146"/>
      <c r="N12" s="2"/>
      <c r="O12" s="2"/>
      <c r="P12" s="2"/>
      <c r="Q12" s="2"/>
    </row>
    <row r="13" spans="1:17" ht="12.75">
      <c r="A13" s="72" t="s">
        <v>60</v>
      </c>
      <c r="B13" s="435"/>
      <c r="C13" s="376" t="s">
        <v>469</v>
      </c>
      <c r="D13" s="546"/>
      <c r="E13" s="147"/>
      <c r="F13" s="146"/>
      <c r="N13" s="2"/>
      <c r="O13" s="2"/>
      <c r="P13" s="2"/>
      <c r="Q13" s="2"/>
    </row>
    <row r="14" spans="1:6" ht="12.75">
      <c r="A14" s="35" t="s">
        <v>228</v>
      </c>
      <c r="B14" s="434"/>
      <c r="C14" s="129"/>
      <c r="D14" s="145"/>
      <c r="E14" s="147"/>
      <c r="F14" s="146"/>
    </row>
    <row r="15" spans="1:8" ht="4.5" customHeight="1">
      <c r="A15" s="34"/>
      <c r="B15" s="9"/>
      <c r="C15" s="138"/>
      <c r="D15" s="134"/>
      <c r="E15" s="147"/>
      <c r="F15" s="146"/>
      <c r="H15" s="2"/>
    </row>
    <row r="16" spans="1:8" ht="12.75">
      <c r="A16" s="115" t="s">
        <v>230</v>
      </c>
      <c r="B16" s="11"/>
      <c r="C16" s="125"/>
      <c r="D16" s="148" t="s">
        <v>231</v>
      </c>
      <c r="E16" s="147" t="s">
        <v>77</v>
      </c>
      <c r="F16" s="146"/>
      <c r="H16" s="2"/>
    </row>
    <row r="17" spans="1:8" ht="12.75">
      <c r="A17" s="34"/>
      <c r="B17" s="11"/>
      <c r="C17" s="138"/>
      <c r="D17" s="149" t="s">
        <v>82</v>
      </c>
      <c r="E17" s="150">
        <f>IF(B20&gt;0,IF(B20=2,1.3,1),1)</f>
        <v>1</v>
      </c>
      <c r="F17" s="151"/>
      <c r="H17" s="2"/>
    </row>
    <row r="18" spans="1:8" ht="12.75">
      <c r="A18" s="35" t="s">
        <v>304</v>
      </c>
      <c r="B18" s="431"/>
      <c r="C18" s="138"/>
      <c r="D18" s="149" t="s">
        <v>84</v>
      </c>
      <c r="E18" s="150">
        <f>IF(B21&gt;0,IF(B21=1,1.2,1),1)</f>
        <v>1</v>
      </c>
      <c r="F18" s="151"/>
      <c r="H18" s="2"/>
    </row>
    <row r="19" spans="1:8" ht="12.75">
      <c r="A19" s="48" t="s">
        <v>305</v>
      </c>
      <c r="B19" s="431"/>
      <c r="C19" s="125"/>
      <c r="D19" s="149" t="s">
        <v>86</v>
      </c>
      <c r="E19" s="150">
        <f>IF($B$33&gt;0,IF($F$33&gt;3.81,1,(2.44/$F$33)^0.2),1)</f>
        <v>1</v>
      </c>
      <c r="F19" s="151"/>
      <c r="G19" s="150">
        <f>IF($B$33&gt;0,IF($F$33&gt;3.81,1,(2.44/$F$33)^0.2),1)</f>
        <v>1</v>
      </c>
      <c r="H19" t="s">
        <v>467</v>
      </c>
    </row>
    <row r="20" spans="1:17" ht="12.75">
      <c r="A20" s="48" t="s">
        <v>306</v>
      </c>
      <c r="B20" s="431"/>
      <c r="C20" s="129"/>
      <c r="D20" s="149" t="s">
        <v>88</v>
      </c>
      <c r="E20" s="150">
        <f>IF(B13&gt;0,IF(B11&lt;16000*(13/(B13/1.103))^0.5,1,1+(B13/1.103-7)*((B11/(16000*(13/(B13/1.103))^0.5))-1)/(B11/B12)),1)</f>
        <v>1</v>
      </c>
      <c r="F20" s="151"/>
      <c r="G20" s="9"/>
      <c r="H20" s="4"/>
      <c r="O20" s="271"/>
      <c r="P20" s="254"/>
      <c r="Q20" s="255"/>
    </row>
    <row r="21" spans="1:17" ht="12.75">
      <c r="A21" s="48" t="s">
        <v>307</v>
      </c>
      <c r="B21" s="431"/>
      <c r="C21" s="129"/>
      <c r="D21" s="149" t="s">
        <v>90</v>
      </c>
      <c r="E21" s="150">
        <f>IF(B12&gt;0,IF(B12&lt;75,(B12+10.3)/(1.145*B12),1),1)</f>
        <v>1</v>
      </c>
      <c r="F21" s="133"/>
      <c r="O21" s="275" t="e">
        <f>B11/B12</f>
        <v>#DIV/0!</v>
      </c>
      <c r="P21" s="13" t="s">
        <v>91</v>
      </c>
      <c r="Q21" s="249"/>
    </row>
    <row r="22" spans="1:17" ht="12.75">
      <c r="A22" s="34"/>
      <c r="B22" s="5"/>
      <c r="C22" s="129"/>
      <c r="D22" s="149" t="s">
        <v>237</v>
      </c>
      <c r="E22" s="150">
        <f>IF(B12&gt;0,IF(O23&lt;-2,1+(O23)^2/150,IF(O23&gt;2,1+(O23)^2/150,1)),1)</f>
        <v>1</v>
      </c>
      <c r="F22" s="133"/>
      <c r="O22" s="275" t="e">
        <f>8+5*(B34-0.15)/B33</f>
        <v>#DIV/0!</v>
      </c>
      <c r="P22" s="13" t="s">
        <v>94</v>
      </c>
      <c r="Q22" s="249"/>
    </row>
    <row r="23" spans="1:17" ht="12.75">
      <c r="A23" s="40"/>
      <c r="B23" s="5"/>
      <c r="C23" s="125"/>
      <c r="D23" s="149" t="s">
        <v>96</v>
      </c>
      <c r="E23" s="274">
        <v>1</v>
      </c>
      <c r="F23" s="151"/>
      <c r="O23" s="275" t="e">
        <f>O21-O22</f>
        <v>#DIV/0!</v>
      </c>
      <c r="P23" s="13" t="s">
        <v>236</v>
      </c>
      <c r="Q23" s="249"/>
    </row>
    <row r="24" spans="1:17" ht="12.75">
      <c r="A24" s="40"/>
      <c r="B24" s="5"/>
      <c r="C24" s="125"/>
      <c r="D24" s="152" t="s">
        <v>99</v>
      </c>
      <c r="E24" s="153">
        <f>IF((B18*B19)&gt;0,IF(B19=1,IF(B18=1,1.4,1.2),IF(B18=1,1.2,1)),1)</f>
        <v>1</v>
      </c>
      <c r="F24" s="154"/>
      <c r="O24" s="276" t="s">
        <v>308</v>
      </c>
      <c r="P24" s="19"/>
      <c r="Q24" s="249"/>
    </row>
    <row r="25" spans="1:17" ht="12.75">
      <c r="A25" s="34"/>
      <c r="B25" s="5"/>
      <c r="C25" s="125"/>
      <c r="D25" s="155" t="s">
        <v>102</v>
      </c>
      <c r="E25" s="156">
        <f>E17*E18*E19*E20*E21*E22*E23*E24</f>
        <v>1</v>
      </c>
      <c r="F25" s="157"/>
      <c r="O25" s="277" t="s">
        <v>309</v>
      </c>
      <c r="P25" s="273"/>
      <c r="Q25" s="256"/>
    </row>
    <row r="26" spans="1:8" ht="11.25" customHeight="1">
      <c r="A26" s="34"/>
      <c r="B26" s="5"/>
      <c r="C26" s="125"/>
      <c r="D26" s="155"/>
      <c r="E26" s="156"/>
      <c r="F26" s="157"/>
      <c r="G26" s="9"/>
      <c r="H26" s="4"/>
    </row>
    <row r="27" spans="1:8" ht="12.75">
      <c r="A27" s="34"/>
      <c r="B27" s="76"/>
      <c r="C27" s="158"/>
      <c r="D27" s="125"/>
      <c r="E27" s="134" t="s">
        <v>240</v>
      </c>
      <c r="F27" s="159">
        <f>IF(B11&gt;0,10*B13*(B12^(-0.5)-B11^(-0.5)),)</f>
        <v>0</v>
      </c>
      <c r="H27" s="4"/>
    </row>
    <row r="28" spans="1:17" ht="12.75">
      <c r="A28" s="41"/>
      <c r="B28" s="25"/>
      <c r="C28" s="160"/>
      <c r="D28" s="125"/>
      <c r="E28" s="161" t="s">
        <v>241</v>
      </c>
      <c r="F28" s="159">
        <f>IF(B11&gt;0,10*B13*(B12^(-0.5)-B11^(-0.5))*E25,)</f>
        <v>0</v>
      </c>
      <c r="G28" s="10"/>
      <c r="H28" s="4"/>
      <c r="N28" s="2"/>
      <c r="O28" s="4"/>
      <c r="P28" s="4"/>
      <c r="Q28" s="4"/>
    </row>
    <row r="29" spans="1:17" ht="20.25" customHeight="1">
      <c r="A29" s="109"/>
      <c r="B29" s="31"/>
      <c r="C29" s="162"/>
      <c r="D29" s="162"/>
      <c r="E29" s="163" t="s">
        <v>116</v>
      </c>
      <c r="F29" s="164">
        <f>ROUNDUP(F28*B9,-1)</f>
        <v>0</v>
      </c>
      <c r="G29" s="11"/>
      <c r="H29" s="4"/>
      <c r="N29" s="2"/>
      <c r="O29" s="3"/>
      <c r="P29" s="3"/>
      <c r="Q29" s="3"/>
    </row>
    <row r="30" spans="1:17" s="5" customFormat="1" ht="15" customHeight="1" thickBot="1">
      <c r="A30" s="109"/>
      <c r="B30" s="31"/>
      <c r="C30" s="162"/>
      <c r="D30" s="162"/>
      <c r="E30" s="166"/>
      <c r="F30" s="167"/>
      <c r="G30" s="11"/>
      <c r="H30" s="19"/>
      <c r="N30"/>
      <c r="O30"/>
      <c r="P30"/>
      <c r="Q30" s="6"/>
    </row>
    <row r="31" spans="1:17" ht="21" thickBot="1">
      <c r="A31" s="424" t="s">
        <v>310</v>
      </c>
      <c r="B31" s="120"/>
      <c r="C31" s="168"/>
      <c r="D31" s="169"/>
      <c r="E31" s="169"/>
      <c r="F31" s="170"/>
      <c r="G31" s="112" t="s">
        <v>140</v>
      </c>
      <c r="H31" s="530">
        <f>C5</f>
        <v>1</v>
      </c>
      <c r="N31" s="13"/>
      <c r="O31" s="6"/>
      <c r="P31" s="6"/>
      <c r="Q31" s="3"/>
    </row>
    <row r="32" spans="1:17" ht="36.75" thickTop="1">
      <c r="A32" s="123" t="str">
        <f>IF(B34&gt;6.7,"BEWARE - MILL TOO LONG",IF(F34&lt;1.25,"BEWARE OF ROD TANGLE"," "))</f>
        <v>BEWARE OF ROD TANGLE</v>
      </c>
      <c r="B32" s="106">
        <f>IF(B34&gt;6.7,"MAX LENGTH 6.71M","")</f>
      </c>
      <c r="C32" s="130" t="s">
        <v>142</v>
      </c>
      <c r="D32" s="171"/>
      <c r="E32" s="172" t="s">
        <v>143</v>
      </c>
      <c r="F32" s="173">
        <f>F29</f>
        <v>0</v>
      </c>
      <c r="G32" s="111" t="s">
        <v>144</v>
      </c>
      <c r="H32" s="80" t="s">
        <v>145</v>
      </c>
      <c r="I32" s="81" t="s">
        <v>146</v>
      </c>
      <c r="J32" s="4"/>
      <c r="K32" s="4"/>
      <c r="L32" s="4"/>
      <c r="M32" s="4"/>
      <c r="N32" s="90"/>
      <c r="O32" s="319" t="s">
        <v>311</v>
      </c>
      <c r="P32" s="381"/>
      <c r="Q32" s="3"/>
    </row>
    <row r="33" spans="1:17" ht="12.75">
      <c r="A33" s="35" t="s">
        <v>246</v>
      </c>
      <c r="B33" s="436"/>
      <c r="C33" s="445">
        <f>B33*3.2808</f>
        <v>0</v>
      </c>
      <c r="D33" s="125"/>
      <c r="E33" s="134" t="s">
        <v>160</v>
      </c>
      <c r="F33" s="135">
        <f>IF(B33&gt;0.2,B33-2*B35,)</f>
        <v>0</v>
      </c>
      <c r="G33" s="333">
        <v>1.5</v>
      </c>
      <c r="H33" s="87">
        <f>IF(G33&gt;0,ROUNDDOWN(((($F$29/H31)/($G$33*6.776))^0.2883)*2,0)/2,)</f>
        <v>0</v>
      </c>
      <c r="I33" s="88">
        <f>IF(G33&gt;0,I34+0.5,)</f>
        <v>0.5</v>
      </c>
      <c r="J33" s="4"/>
      <c r="K33" s="4"/>
      <c r="L33" s="4"/>
      <c r="M33" s="4"/>
      <c r="N33" s="3"/>
      <c r="O33" s="250" t="s">
        <v>40</v>
      </c>
      <c r="P33" s="249" t="s">
        <v>312</v>
      </c>
      <c r="Q33" s="3"/>
    </row>
    <row r="34" spans="1:17" ht="13.5" thickBot="1">
      <c r="A34" s="35" t="s">
        <v>247</v>
      </c>
      <c r="B34" s="436"/>
      <c r="C34" s="445">
        <f>B34*3.2808</f>
        <v>0</v>
      </c>
      <c r="D34" s="125"/>
      <c r="E34" s="127" t="s">
        <v>154</v>
      </c>
      <c r="F34" s="132">
        <f>IF(B33&gt;0,B34/B33,)</f>
        <v>0</v>
      </c>
      <c r="G34" s="372" t="s">
        <v>313</v>
      </c>
      <c r="H34" s="334">
        <f>IF(G33&gt;0,ROUNDUP(((($F$29/H31)/($G$33*6.776))^0.2883)*2,0)/2,)</f>
        <v>0</v>
      </c>
      <c r="I34" s="89">
        <f>IF(G33&gt;0,ROUNDUP($H$34*$G$33*2,0)/2,)</f>
        <v>0</v>
      </c>
      <c r="J34" s="4"/>
      <c r="K34" s="4"/>
      <c r="L34" s="4"/>
      <c r="M34" s="4"/>
      <c r="N34" s="3"/>
      <c r="O34" s="250">
        <v>0.9</v>
      </c>
      <c r="P34" s="251">
        <v>5.847</v>
      </c>
      <c r="Q34" s="3"/>
    </row>
    <row r="35" spans="1:17" ht="13.5" thickBot="1">
      <c r="A35" s="35" t="s">
        <v>249</v>
      </c>
      <c r="B35" s="437">
        <v>0.08</v>
      </c>
      <c r="C35" s="125"/>
      <c r="D35" s="125"/>
      <c r="E35" s="125"/>
      <c r="F35" s="133"/>
      <c r="G35" s="269" t="s">
        <v>314</v>
      </c>
      <c r="H35" s="370"/>
      <c r="I35" s="371"/>
      <c r="J35" s="4"/>
      <c r="K35" s="4"/>
      <c r="L35" s="4"/>
      <c r="M35" s="4"/>
      <c r="N35" s="3"/>
      <c r="O35" s="250">
        <v>2.1</v>
      </c>
      <c r="P35" s="251">
        <v>5.766</v>
      </c>
      <c r="Q35" s="3"/>
    </row>
    <row r="36" spans="1:17" ht="12.75">
      <c r="A36" s="392" t="s">
        <v>315</v>
      </c>
      <c r="B36" s="391"/>
      <c r="C36" s="125"/>
      <c r="D36" s="125"/>
      <c r="E36" s="125"/>
      <c r="F36" s="133"/>
      <c r="G36" s="110"/>
      <c r="H36" s="105"/>
      <c r="J36" s="4"/>
      <c r="K36" s="4"/>
      <c r="L36" s="4"/>
      <c r="M36" s="4"/>
      <c r="N36" s="3"/>
      <c r="O36" s="250">
        <v>2.9</v>
      </c>
      <c r="P36" s="251">
        <v>5.606</v>
      </c>
      <c r="Q36" s="3"/>
    </row>
    <row r="37" spans="1:17" ht="12.75">
      <c r="A37" s="35" t="s">
        <v>164</v>
      </c>
      <c r="B37" s="531">
        <v>0.6</v>
      </c>
      <c r="C37" s="125"/>
      <c r="D37" s="125"/>
      <c r="E37" s="127" t="s">
        <v>163</v>
      </c>
      <c r="F37" s="136">
        <f>IF(B33&gt;0,42.3/F33^0.5,)</f>
        <v>0</v>
      </c>
      <c r="G37" s="110" t="s">
        <v>161</v>
      </c>
      <c r="L37" s="4"/>
      <c r="M37" s="4"/>
      <c r="N37" s="3"/>
      <c r="O37" s="252">
        <v>3.7</v>
      </c>
      <c r="P37" s="253">
        <v>5.446</v>
      </c>
      <c r="Q37" s="3"/>
    </row>
    <row r="38" spans="1:17" ht="13.5" thickBot="1">
      <c r="A38" s="48"/>
      <c r="B38" s="11"/>
      <c r="C38" s="137"/>
      <c r="D38" s="125"/>
      <c r="E38" s="127" t="s">
        <v>165</v>
      </c>
      <c r="F38" s="136">
        <f>F37*B37</f>
        <v>0</v>
      </c>
      <c r="G38" s="13"/>
      <c r="L38" s="4"/>
      <c r="M38" s="4"/>
      <c r="N38" s="3"/>
      <c r="O38" s="3"/>
      <c r="P38" s="3"/>
      <c r="Q38" s="3"/>
    </row>
    <row r="39" spans="1:23" ht="12.75" customHeight="1">
      <c r="A39" s="34"/>
      <c r="B39" s="11"/>
      <c r="C39" s="125"/>
      <c r="D39" s="125"/>
      <c r="E39" s="125"/>
      <c r="F39" s="133"/>
      <c r="G39" s="13"/>
      <c r="L39" s="4"/>
      <c r="M39" s="4"/>
      <c r="N39" s="257"/>
      <c r="O39" s="259" t="s">
        <v>316</v>
      </c>
      <c r="P39" s="260"/>
      <c r="Q39" s="260"/>
      <c r="R39" s="261"/>
      <c r="S39" s="261"/>
      <c r="T39" s="261"/>
      <c r="U39" s="261"/>
      <c r="V39" s="261"/>
      <c r="W39" s="262"/>
    </row>
    <row r="40" spans="1:23" ht="12.75">
      <c r="A40" s="35" t="s">
        <v>167</v>
      </c>
      <c r="B40" s="456"/>
      <c r="C40" s="129"/>
      <c r="D40" s="125"/>
      <c r="E40" s="134" t="s">
        <v>168</v>
      </c>
      <c r="F40" s="132">
        <f>IF(B10&gt;0,B10/((1-B40)*B10+B40),)</f>
        <v>0</v>
      </c>
      <c r="G40" s="13"/>
      <c r="L40" s="4"/>
      <c r="M40" s="4"/>
      <c r="N40" s="3"/>
      <c r="O40" s="263" t="s">
        <v>211</v>
      </c>
      <c r="P40" s="258"/>
      <c r="Q40" s="258" t="s">
        <v>212</v>
      </c>
      <c r="R40" s="105"/>
      <c r="S40" s="105" t="s">
        <v>213</v>
      </c>
      <c r="T40" s="105"/>
      <c r="U40" s="105" t="s">
        <v>214</v>
      </c>
      <c r="V40" s="105"/>
      <c r="W40" s="264"/>
    </row>
    <row r="41" spans="1:23" ht="12.75">
      <c r="A41" s="35" t="s">
        <v>253</v>
      </c>
      <c r="B41" s="456"/>
      <c r="C41" s="129"/>
      <c r="D41" s="125"/>
      <c r="E41" s="125"/>
      <c r="F41" s="133"/>
      <c r="G41" s="13"/>
      <c r="L41" s="4"/>
      <c r="M41" s="4"/>
      <c r="N41" s="3"/>
      <c r="O41" s="265" t="s">
        <v>5</v>
      </c>
      <c r="P41" s="6" t="s">
        <v>317</v>
      </c>
      <c r="Q41" s="6" t="s">
        <v>6</v>
      </c>
      <c r="R41" s="19" t="s">
        <v>40</v>
      </c>
      <c r="S41" s="19" t="s">
        <v>6</v>
      </c>
      <c r="T41" s="19" t="s">
        <v>40</v>
      </c>
      <c r="U41" s="5">
        <v>1</v>
      </c>
      <c r="V41" s="5">
        <v>1.25</v>
      </c>
      <c r="W41" s="266">
        <v>1.5</v>
      </c>
    </row>
    <row r="42" spans="1:23" ht="12.75">
      <c r="A42" s="35" t="s">
        <v>318</v>
      </c>
      <c r="B42" s="461">
        <v>0.45</v>
      </c>
      <c r="C42" s="129"/>
      <c r="D42" s="125"/>
      <c r="E42" s="134" t="s">
        <v>319</v>
      </c>
      <c r="F42" s="132">
        <f>IF(B33&gt;0,VLOOKUP(F33,O34:P37,2),)</f>
        <v>0</v>
      </c>
      <c r="G42" s="13"/>
      <c r="L42" s="4"/>
      <c r="M42" s="4"/>
      <c r="N42" s="3"/>
      <c r="O42" s="265">
        <v>1</v>
      </c>
      <c r="P42" s="6">
        <f>($F$32/H31)*(O42^(-2.46))/6.7761/$H$31</f>
        <v>0</v>
      </c>
      <c r="Q42" s="6">
        <f>B33</f>
        <v>0</v>
      </c>
      <c r="R42" s="119">
        <f>B34</f>
        <v>0</v>
      </c>
      <c r="S42" s="278">
        <v>1.5</v>
      </c>
      <c r="T42" s="278">
        <v>2.4</v>
      </c>
      <c r="U42" s="5">
        <f>$O42*U$41</f>
        <v>1</v>
      </c>
      <c r="V42" s="5">
        <f aca="true" t="shared" si="0" ref="V42:W51">$O42*V$41</f>
        <v>1.25</v>
      </c>
      <c r="W42" s="266">
        <f t="shared" si="0"/>
        <v>1.5</v>
      </c>
    </row>
    <row r="43" spans="1:23" ht="12.75">
      <c r="A43" s="35"/>
      <c r="B43" s="129"/>
      <c r="C43" s="129"/>
      <c r="D43" s="125"/>
      <c r="E43" s="134" t="s">
        <v>172</v>
      </c>
      <c r="F43" s="132">
        <f>(PI()*F33^2*B34/4)*B42</f>
        <v>0</v>
      </c>
      <c r="G43" s="13"/>
      <c r="H43" s="13"/>
      <c r="I43" s="4"/>
      <c r="L43" s="4"/>
      <c r="M43" s="4"/>
      <c r="N43" s="3"/>
      <c r="O43" s="265">
        <v>1.5</v>
      </c>
      <c r="P43" s="6">
        <f>($F$32/H31)*(O43^(-2.46))/6.7761/$H$31</f>
        <v>0</v>
      </c>
      <c r="Q43" s="6"/>
      <c r="R43" s="5"/>
      <c r="S43" s="278">
        <v>1.5</v>
      </c>
      <c r="T43" s="278">
        <v>3</v>
      </c>
      <c r="U43" s="5">
        <f aca="true" t="shared" si="1" ref="U43:U51">$O43*U$41</f>
        <v>1.5</v>
      </c>
      <c r="V43" s="5">
        <f t="shared" si="0"/>
        <v>1.875</v>
      </c>
      <c r="W43" s="266">
        <f t="shared" si="0"/>
        <v>2.25</v>
      </c>
    </row>
    <row r="44" spans="1:23" ht="12.75">
      <c r="A44" s="34"/>
      <c r="B44" s="114" t="s">
        <v>261</v>
      </c>
      <c r="C44" s="174" t="s">
        <v>262</v>
      </c>
      <c r="D44" s="125"/>
      <c r="E44" s="134" t="s">
        <v>263</v>
      </c>
      <c r="F44" s="175">
        <f>F43*F42</f>
        <v>0</v>
      </c>
      <c r="G44" s="13"/>
      <c r="H44" s="13"/>
      <c r="J44" s="4"/>
      <c r="K44" s="4"/>
      <c r="L44" s="4"/>
      <c r="M44" s="4"/>
      <c r="N44" s="3"/>
      <c r="O44" s="265">
        <v>2</v>
      </c>
      <c r="P44" s="6">
        <f>($F$32/H31)*(O44^(-2.46))/6.7761/$H$31</f>
        <v>0</v>
      </c>
      <c r="Q44" s="6"/>
      <c r="R44" s="5"/>
      <c r="S44" s="278">
        <v>1.8</v>
      </c>
      <c r="T44" s="278">
        <v>2.4</v>
      </c>
      <c r="U44" s="5">
        <f t="shared" si="1"/>
        <v>2</v>
      </c>
      <c r="V44" s="5">
        <f t="shared" si="0"/>
        <v>2.5</v>
      </c>
      <c r="W44" s="266">
        <f t="shared" si="0"/>
        <v>3</v>
      </c>
    </row>
    <row r="45" spans="1:23" ht="12.75">
      <c r="A45" s="48" t="s">
        <v>320</v>
      </c>
      <c r="B45" s="108">
        <f>IF(B14&gt;0,0.159*(B14-0.02)^0.2,)</f>
        <v>0</v>
      </c>
      <c r="C45" s="176">
        <f>IF(B9&gt;0,B45*F49/B9,)</f>
        <v>0</v>
      </c>
      <c r="D45" s="125"/>
      <c r="E45" s="125"/>
      <c r="F45" s="133"/>
      <c r="G45" s="13"/>
      <c r="H45" s="13"/>
      <c r="J45" s="4"/>
      <c r="K45" s="4"/>
      <c r="L45" s="4"/>
      <c r="M45" s="4"/>
      <c r="N45" s="3"/>
      <c r="O45" s="265">
        <v>2.5</v>
      </c>
      <c r="P45" s="6">
        <f>($F$32/H31)*(O45^(-2.46))/6.7761/$H$31</f>
        <v>0</v>
      </c>
      <c r="Q45" s="6"/>
      <c r="R45" s="5"/>
      <c r="S45" s="278">
        <v>1.8</v>
      </c>
      <c r="T45" s="278">
        <v>3</v>
      </c>
      <c r="U45" s="5">
        <f t="shared" si="1"/>
        <v>2.5</v>
      </c>
      <c r="V45" s="5">
        <f t="shared" si="0"/>
        <v>3.125</v>
      </c>
      <c r="W45" s="266">
        <f t="shared" si="0"/>
        <v>3.75</v>
      </c>
    </row>
    <row r="46" spans="1:23" ht="12.75">
      <c r="A46" s="48" t="s">
        <v>266</v>
      </c>
      <c r="B46" s="108">
        <f>IF(B14&gt;0,0.0159*(B14-0.015)^0.3,)</f>
        <v>0</v>
      </c>
      <c r="C46" s="176">
        <f>IF(B9&gt;0,B46*F49/B9,)</f>
        <v>0</v>
      </c>
      <c r="D46" s="125"/>
      <c r="E46" s="127" t="s">
        <v>321</v>
      </c>
      <c r="F46" s="136">
        <f>1.752*F33^0.34*(6.3-5.4*B42)*B37</f>
        <v>0</v>
      </c>
      <c r="G46" s="13"/>
      <c r="H46" s="13"/>
      <c r="N46" s="2"/>
      <c r="O46" s="265">
        <v>3</v>
      </c>
      <c r="P46" s="6">
        <f>($F$32/H31)*(O46^(-2.46))/6.7761/$H$31</f>
        <v>0</v>
      </c>
      <c r="Q46" s="6"/>
      <c r="R46" s="5"/>
      <c r="S46" s="278">
        <v>2.1</v>
      </c>
      <c r="T46" s="278">
        <v>3</v>
      </c>
      <c r="U46" s="5">
        <f t="shared" si="1"/>
        <v>3</v>
      </c>
      <c r="V46" s="5">
        <f t="shared" si="0"/>
        <v>3.75</v>
      </c>
      <c r="W46" s="266">
        <f t="shared" si="0"/>
        <v>4.5</v>
      </c>
    </row>
    <row r="47" spans="1:23" ht="12.75">
      <c r="A47" s="48" t="s">
        <v>322</v>
      </c>
      <c r="B47" s="118">
        <f>IF(B37*F33&gt;0,0.16*B11^0.75*((B13*B10)/(B37*100*(3.281*F33)^0.5))^0.5,)</f>
        <v>0</v>
      </c>
      <c r="C47" s="177"/>
      <c r="D47" s="125"/>
      <c r="E47" s="125"/>
      <c r="F47" s="133"/>
      <c r="G47" s="13"/>
      <c r="N47" s="2"/>
      <c r="O47" s="265">
        <v>3.5</v>
      </c>
      <c r="P47" s="6">
        <f>($F$32/H31)*(O47^(-2.46))/6.7761/$H$31</f>
        <v>0</v>
      </c>
      <c r="Q47" s="6"/>
      <c r="R47" s="5"/>
      <c r="S47" s="278">
        <v>2.1</v>
      </c>
      <c r="T47" s="278">
        <v>3.6</v>
      </c>
      <c r="U47" s="5">
        <f t="shared" si="1"/>
        <v>3.5</v>
      </c>
      <c r="V47" s="5">
        <f t="shared" si="0"/>
        <v>4.375</v>
      </c>
      <c r="W47" s="266">
        <f t="shared" si="0"/>
        <v>5.25</v>
      </c>
    </row>
    <row r="48" spans="1:23" ht="12.75">
      <c r="A48" s="48"/>
      <c r="B48" s="118"/>
      <c r="C48" s="150"/>
      <c r="D48" s="125"/>
      <c r="E48" s="125"/>
      <c r="F48" s="133"/>
      <c r="G48" s="13"/>
      <c r="H48" s="13"/>
      <c r="N48" s="2"/>
      <c r="O48" s="265">
        <v>4</v>
      </c>
      <c r="P48" s="6">
        <f>($F$32/H31)*(O48^(-2.46))/6.7761/$H$31</f>
        <v>0</v>
      </c>
      <c r="Q48" s="6"/>
      <c r="R48" s="5"/>
      <c r="S48" s="278">
        <v>2.4</v>
      </c>
      <c r="T48" s="278">
        <v>3</v>
      </c>
      <c r="U48" s="5">
        <f t="shared" si="1"/>
        <v>4</v>
      </c>
      <c r="V48" s="5">
        <f t="shared" si="0"/>
        <v>5</v>
      </c>
      <c r="W48" s="266">
        <f t="shared" si="0"/>
        <v>6</v>
      </c>
    </row>
    <row r="49" spans="1:23" ht="20.25">
      <c r="A49" s="34"/>
      <c r="B49" s="5"/>
      <c r="C49" s="125"/>
      <c r="D49" s="162"/>
      <c r="E49" s="178" t="s">
        <v>181</v>
      </c>
      <c r="F49" s="179">
        <f>F44*F46</f>
        <v>0</v>
      </c>
      <c r="G49" s="387">
        <f>1000*F44*0.235*F33*F38/1800</f>
        <v>0</v>
      </c>
      <c r="H49" s="388" t="s">
        <v>323</v>
      </c>
      <c r="I49" s="342"/>
      <c r="J49" s="389"/>
      <c r="N49" s="2"/>
      <c r="O49" s="265">
        <v>4.5</v>
      </c>
      <c r="P49" s="6">
        <f>($F$32/H31)*(O49^(-2.46))/6.7761/$H$31</f>
        <v>0</v>
      </c>
      <c r="Q49" s="6"/>
      <c r="R49" s="7"/>
      <c r="S49" s="278">
        <v>2.4</v>
      </c>
      <c r="T49" s="278">
        <v>4.2</v>
      </c>
      <c r="U49" s="5">
        <f t="shared" si="1"/>
        <v>4.5</v>
      </c>
      <c r="V49" s="5">
        <f t="shared" si="0"/>
        <v>5.625</v>
      </c>
      <c r="W49" s="266">
        <f t="shared" si="0"/>
        <v>6.75</v>
      </c>
    </row>
    <row r="50" spans="1:23" ht="20.25">
      <c r="A50" s="34"/>
      <c r="C50" s="125"/>
      <c r="D50" s="162"/>
      <c r="E50" s="163" t="s">
        <v>183</v>
      </c>
      <c r="F50" s="500">
        <f>ROUNDUP(J50,1)</f>
        <v>0</v>
      </c>
      <c r="I50" s="211" t="s">
        <v>324</v>
      </c>
      <c r="J50" s="6">
        <f>IF(B33&gt;0,F29/F49,)</f>
        <v>0</v>
      </c>
      <c r="K50" s="5"/>
      <c r="N50" s="2"/>
      <c r="O50" s="265">
        <v>5</v>
      </c>
      <c r="P50" s="6">
        <f>($F$32/H31)*(O50^(-2.46))/6.7761/$H$31</f>
        <v>0</v>
      </c>
      <c r="Q50" s="6"/>
      <c r="R50" s="7"/>
      <c r="S50" s="278">
        <v>2.8</v>
      </c>
      <c r="T50" s="278">
        <v>3.6</v>
      </c>
      <c r="U50" s="5">
        <f t="shared" si="1"/>
        <v>5</v>
      </c>
      <c r="V50" s="5">
        <f t="shared" si="0"/>
        <v>6.25</v>
      </c>
      <c r="W50" s="266">
        <f t="shared" si="0"/>
        <v>7.5</v>
      </c>
    </row>
    <row r="51" spans="1:23" ht="20.25">
      <c r="A51" s="35"/>
      <c r="B51" s="6"/>
      <c r="C51" s="125"/>
      <c r="D51" s="162"/>
      <c r="E51" s="181" t="s">
        <v>325</v>
      </c>
      <c r="F51" s="182">
        <f>F50*F49</f>
        <v>0</v>
      </c>
      <c r="G51" s="250"/>
      <c r="H51" s="8"/>
      <c r="I51" s="502" t="s">
        <v>185</v>
      </c>
      <c r="J51" s="5"/>
      <c r="K51" s="5"/>
      <c r="N51" s="2"/>
      <c r="O51" s="265">
        <v>5.5</v>
      </c>
      <c r="P51" s="6">
        <f>($F$32/H31)*(O51^(-2.46))/6.7761/$H$31</f>
        <v>0</v>
      </c>
      <c r="Q51" s="6"/>
      <c r="R51" s="7"/>
      <c r="S51" s="278">
        <v>2.8</v>
      </c>
      <c r="T51" s="278">
        <v>4.8</v>
      </c>
      <c r="U51" s="5">
        <f t="shared" si="1"/>
        <v>5.5</v>
      </c>
      <c r="V51" s="5">
        <f t="shared" si="0"/>
        <v>6.875</v>
      </c>
      <c r="W51" s="266">
        <f t="shared" si="0"/>
        <v>8.25</v>
      </c>
    </row>
    <row r="52" spans="1:23" ht="21" thickBot="1">
      <c r="A52" s="35"/>
      <c r="B52" s="6"/>
      <c r="C52" s="125"/>
      <c r="D52" s="162"/>
      <c r="E52" s="163"/>
      <c r="F52" s="180"/>
      <c r="G52" s="250"/>
      <c r="H52" s="8"/>
      <c r="I52" s="5"/>
      <c r="J52" s="5"/>
      <c r="K52" s="5"/>
      <c r="N52" s="2"/>
      <c r="O52" s="265"/>
      <c r="P52" s="6"/>
      <c r="Q52" s="6"/>
      <c r="R52" s="7"/>
      <c r="S52" s="278">
        <v>2.8</v>
      </c>
      <c r="T52" s="278">
        <v>4.2</v>
      </c>
      <c r="U52" s="5"/>
      <c r="V52" s="5"/>
      <c r="W52" s="266"/>
    </row>
    <row r="53" spans="1:23" ht="20.25">
      <c r="A53" s="247" t="s">
        <v>187</v>
      </c>
      <c r="B53" s="113"/>
      <c r="C53" s="183"/>
      <c r="D53" s="184"/>
      <c r="E53" s="185"/>
      <c r="F53" s="186"/>
      <c r="G53" s="250"/>
      <c r="H53" s="8"/>
      <c r="I53" s="5"/>
      <c r="J53" s="5"/>
      <c r="K53" s="5"/>
      <c r="N53" s="2"/>
      <c r="O53" s="265"/>
      <c r="P53" s="6"/>
      <c r="Q53" s="6"/>
      <c r="R53" s="7"/>
      <c r="S53" s="278">
        <v>3</v>
      </c>
      <c r="T53" s="278">
        <v>4.2</v>
      </c>
      <c r="U53" s="5"/>
      <c r="V53" s="5"/>
      <c r="W53" s="266"/>
    </row>
    <row r="54" spans="1:23" ht="12.75">
      <c r="A54" s="34"/>
      <c r="B54" s="5"/>
      <c r="C54" s="187"/>
      <c r="D54" s="125"/>
      <c r="E54" s="188" t="s">
        <v>272</v>
      </c>
      <c r="F54" s="182">
        <f>F49</f>
        <v>0</v>
      </c>
      <c r="G54" s="290"/>
      <c r="H54" s="5"/>
      <c r="I54" s="5"/>
      <c r="J54" s="5"/>
      <c r="K54" s="5"/>
      <c r="N54" s="1"/>
      <c r="O54" s="265"/>
      <c r="P54" s="6"/>
      <c r="Q54" s="7"/>
      <c r="R54" s="7"/>
      <c r="S54" s="278">
        <v>3.2</v>
      </c>
      <c r="T54" s="278">
        <v>4.2</v>
      </c>
      <c r="U54" s="5"/>
      <c r="V54" s="5"/>
      <c r="W54" s="266"/>
    </row>
    <row r="55" spans="1:23" ht="12.75">
      <c r="A55" s="48"/>
      <c r="B55" s="119"/>
      <c r="C55" s="187"/>
      <c r="D55" s="125"/>
      <c r="E55" s="189" t="s">
        <v>273</v>
      </c>
      <c r="F55" s="139">
        <f>IF((B33-B35)&gt;0,(B33-B35)^3*F49/(F33)^3-F54,)</f>
        <v>0</v>
      </c>
      <c r="G55" s="290"/>
      <c r="H55" s="5"/>
      <c r="I55" s="5"/>
      <c r="J55" s="5"/>
      <c r="K55" s="5"/>
      <c r="N55" s="1"/>
      <c r="O55" s="267"/>
      <c r="P55" s="7"/>
      <c r="Q55" s="7"/>
      <c r="R55" s="7"/>
      <c r="S55" s="278">
        <v>3.2</v>
      </c>
      <c r="T55" s="278">
        <v>4.8</v>
      </c>
      <c r="U55" s="5"/>
      <c r="V55" s="5"/>
      <c r="W55" s="266"/>
    </row>
    <row r="56" spans="1:23" ht="12.75">
      <c r="A56" s="34"/>
      <c r="B56" s="5"/>
      <c r="C56" s="187"/>
      <c r="D56" s="125"/>
      <c r="E56" s="144" t="s">
        <v>192</v>
      </c>
      <c r="F56" s="190">
        <f>F54+F55</f>
        <v>0</v>
      </c>
      <c r="G56" s="290"/>
      <c r="H56" s="5"/>
      <c r="I56" s="5"/>
      <c r="J56" s="5"/>
      <c r="K56" s="5"/>
      <c r="N56" s="1"/>
      <c r="O56" s="267"/>
      <c r="P56" s="7"/>
      <c r="Q56" s="7"/>
      <c r="R56" s="7"/>
      <c r="S56" s="278">
        <v>3.5</v>
      </c>
      <c r="T56" s="278">
        <v>4.8</v>
      </c>
      <c r="U56" s="5"/>
      <c r="V56" s="5"/>
      <c r="W56" s="266"/>
    </row>
    <row r="57" spans="1:23" ht="15.75">
      <c r="A57" s="101"/>
      <c r="B57" s="22"/>
      <c r="C57" s="187"/>
      <c r="D57" s="191"/>
      <c r="E57" s="144"/>
      <c r="F57" s="192"/>
      <c r="G57" s="290"/>
      <c r="H57" s="5"/>
      <c r="I57" s="5"/>
      <c r="J57" s="5"/>
      <c r="K57" s="5"/>
      <c r="N57" s="1"/>
      <c r="O57" s="267"/>
      <c r="P57" s="7"/>
      <c r="Q57" s="7"/>
      <c r="R57" s="7"/>
      <c r="S57" s="278">
        <v>3</v>
      </c>
      <c r="T57" s="278">
        <v>4.8</v>
      </c>
      <c r="U57" s="5"/>
      <c r="V57" s="5"/>
      <c r="W57" s="266"/>
    </row>
    <row r="58" spans="1:23" ht="21" thickBot="1">
      <c r="A58" s="117"/>
      <c r="B58" s="122"/>
      <c r="C58" s="193"/>
      <c r="D58" s="194"/>
      <c r="E58" s="195" t="s">
        <v>460</v>
      </c>
      <c r="F58" s="196">
        <f>ROUNDUP(F56*1.03,-1)</f>
        <v>0</v>
      </c>
      <c r="G58" s="390">
        <f>6.776*F33^2.4609*B34</f>
        <v>0</v>
      </c>
      <c r="H58" s="388" t="s">
        <v>193</v>
      </c>
      <c r="I58" s="342"/>
      <c r="J58" s="389"/>
      <c r="N58" s="1"/>
      <c r="O58" s="268"/>
      <c r="P58" s="5"/>
      <c r="Q58" s="7"/>
      <c r="R58" s="7"/>
      <c r="S58" s="278">
        <v>3.5</v>
      </c>
      <c r="T58" s="278">
        <v>5.4</v>
      </c>
      <c r="U58" s="5"/>
      <c r="V58" s="5"/>
      <c r="W58" s="266"/>
    </row>
    <row r="59" spans="3:23" ht="13.5" thickTop="1">
      <c r="C59" s="197"/>
      <c r="D59" s="197"/>
      <c r="E59" s="198"/>
      <c r="F59" s="197"/>
      <c r="H59" s="1"/>
      <c r="I59" s="1"/>
      <c r="J59" s="1"/>
      <c r="K59" s="1"/>
      <c r="L59" s="1"/>
      <c r="M59" s="1"/>
      <c r="N59" s="1"/>
      <c r="O59" s="268"/>
      <c r="P59" s="5"/>
      <c r="Q59" s="5"/>
      <c r="R59" s="5"/>
      <c r="S59" s="278">
        <v>4</v>
      </c>
      <c r="T59" s="278">
        <v>5.4</v>
      </c>
      <c r="U59" s="5"/>
      <c r="V59" s="5"/>
      <c r="W59" s="266"/>
    </row>
    <row r="60" spans="3:23" ht="12.75">
      <c r="C60" s="197"/>
      <c r="D60" s="197"/>
      <c r="E60" s="198"/>
      <c r="F60" s="197"/>
      <c r="H60" s="1"/>
      <c r="I60" s="1"/>
      <c r="J60" s="1"/>
      <c r="K60" s="1"/>
      <c r="L60" s="1"/>
      <c r="M60" s="1"/>
      <c r="N60" s="1"/>
      <c r="O60" s="268"/>
      <c r="P60" s="5"/>
      <c r="Q60" s="5"/>
      <c r="R60" s="5"/>
      <c r="S60" s="278">
        <v>4</v>
      </c>
      <c r="T60" s="278">
        <v>6</v>
      </c>
      <c r="U60" s="5"/>
      <c r="V60" s="5"/>
      <c r="W60" s="266"/>
    </row>
    <row r="61" spans="3:23" ht="12.75">
      <c r="C61" s="197"/>
      <c r="D61" s="197"/>
      <c r="E61" s="198"/>
      <c r="F61" s="197"/>
      <c r="H61" s="1"/>
      <c r="I61" s="1"/>
      <c r="J61" s="1"/>
      <c r="K61" s="1"/>
      <c r="L61" s="1"/>
      <c r="M61" s="1"/>
      <c r="N61" s="1"/>
      <c r="O61" s="268"/>
      <c r="P61" s="5"/>
      <c r="Q61" s="5"/>
      <c r="R61" s="5"/>
      <c r="S61" s="278">
        <v>4.1</v>
      </c>
      <c r="T61" s="278">
        <v>5.4</v>
      </c>
      <c r="U61" s="5"/>
      <c r="V61" s="5"/>
      <c r="W61" s="266"/>
    </row>
    <row r="62" spans="3:23" ht="12.75">
      <c r="C62" s="197"/>
      <c r="D62" s="197"/>
      <c r="E62" s="198"/>
      <c r="F62" s="197"/>
      <c r="H62" s="1"/>
      <c r="I62" s="1"/>
      <c r="J62" s="1"/>
      <c r="K62" s="1"/>
      <c r="L62" s="1"/>
      <c r="M62" s="1"/>
      <c r="N62" s="1"/>
      <c r="O62" s="268"/>
      <c r="P62" s="5"/>
      <c r="Q62" s="5"/>
      <c r="R62" s="5"/>
      <c r="S62" s="278">
        <v>4.1</v>
      </c>
      <c r="T62" s="278">
        <v>6</v>
      </c>
      <c r="U62" s="5"/>
      <c r="V62" s="5"/>
      <c r="W62" s="266"/>
    </row>
    <row r="63" spans="3:23" ht="12.75">
      <c r="C63" s="197"/>
      <c r="D63" s="197"/>
      <c r="E63" s="198"/>
      <c r="F63" s="197"/>
      <c r="H63" s="1"/>
      <c r="I63" s="1"/>
      <c r="J63" s="1"/>
      <c r="K63" s="1"/>
      <c r="L63" s="1"/>
      <c r="M63" s="1"/>
      <c r="N63" s="1"/>
      <c r="O63" s="268"/>
      <c r="P63" s="5"/>
      <c r="Q63" s="5"/>
      <c r="R63" s="5"/>
      <c r="S63" s="278">
        <v>4.2</v>
      </c>
      <c r="T63" s="278">
        <v>5.4</v>
      </c>
      <c r="U63" s="5"/>
      <c r="V63" s="5"/>
      <c r="W63" s="266"/>
    </row>
    <row r="64" spans="3:23" ht="12.75">
      <c r="C64" s="197"/>
      <c r="D64" s="197"/>
      <c r="E64" s="198"/>
      <c r="F64" s="197"/>
      <c r="H64" s="1"/>
      <c r="I64" s="1"/>
      <c r="J64" s="1"/>
      <c r="K64" s="1"/>
      <c r="L64" s="1"/>
      <c r="M64" s="1"/>
      <c r="N64" s="1"/>
      <c r="O64" s="268"/>
      <c r="P64" s="5"/>
      <c r="Q64" s="5"/>
      <c r="R64" s="5"/>
      <c r="S64" s="278">
        <v>4.4</v>
      </c>
      <c r="T64" s="278">
        <v>6</v>
      </c>
      <c r="U64" s="5"/>
      <c r="V64" s="5"/>
      <c r="W64" s="266"/>
    </row>
    <row r="65" spans="3:23" ht="12.75">
      <c r="C65" s="197"/>
      <c r="D65" s="197"/>
      <c r="E65" s="198"/>
      <c r="F65" s="197"/>
      <c r="H65" s="1"/>
      <c r="I65" s="1"/>
      <c r="J65" s="1"/>
      <c r="K65" s="1"/>
      <c r="L65" s="1"/>
      <c r="M65" s="1"/>
      <c r="N65" s="1"/>
      <c r="O65" s="268"/>
      <c r="P65" s="5"/>
      <c r="Q65" s="5"/>
      <c r="R65" s="5"/>
      <c r="S65" s="278">
        <v>4.5</v>
      </c>
      <c r="T65" s="278">
        <v>6</v>
      </c>
      <c r="U65" s="5"/>
      <c r="V65" s="5"/>
      <c r="W65" s="266"/>
    </row>
    <row r="66" spans="3:23" ht="12.75">
      <c r="C66" s="197"/>
      <c r="D66" s="197"/>
      <c r="E66" s="198"/>
      <c r="F66" s="197"/>
      <c r="H66" s="1"/>
      <c r="I66" s="1"/>
      <c r="J66" s="1"/>
      <c r="K66" s="1"/>
      <c r="L66" s="1"/>
      <c r="M66" s="1"/>
      <c r="N66" s="1"/>
      <c r="O66" s="268"/>
      <c r="P66" s="5"/>
      <c r="Q66" s="5"/>
      <c r="R66" s="5"/>
      <c r="S66" s="278">
        <v>4.8</v>
      </c>
      <c r="T66" s="278">
        <v>7.7</v>
      </c>
      <c r="U66" s="5"/>
      <c r="V66" s="5"/>
      <c r="W66" s="266"/>
    </row>
    <row r="67" spans="3:23" ht="12.75">
      <c r="C67" s="197"/>
      <c r="D67" s="197"/>
      <c r="E67" s="198"/>
      <c r="F67" s="197"/>
      <c r="H67" s="1"/>
      <c r="I67" s="1"/>
      <c r="J67" s="1"/>
      <c r="K67" s="1"/>
      <c r="L67" s="1"/>
      <c r="M67" s="1"/>
      <c r="N67" s="1"/>
      <c r="O67" s="268"/>
      <c r="P67" s="5"/>
      <c r="Q67" s="5"/>
      <c r="R67" s="5"/>
      <c r="S67" s="278">
        <v>4.8</v>
      </c>
      <c r="T67" s="278">
        <v>6.8</v>
      </c>
      <c r="U67" s="5"/>
      <c r="V67" s="5"/>
      <c r="W67" s="266"/>
    </row>
    <row r="68" spans="3:23" ht="12.75">
      <c r="C68" s="197"/>
      <c r="D68" s="197"/>
      <c r="E68" s="198"/>
      <c r="F68" s="197"/>
      <c r="H68" s="1"/>
      <c r="I68" s="1"/>
      <c r="J68" s="1"/>
      <c r="K68" s="1"/>
      <c r="L68" s="1"/>
      <c r="M68" s="1"/>
      <c r="N68" s="1"/>
      <c r="O68" s="268"/>
      <c r="P68" s="5"/>
      <c r="Q68" s="5"/>
      <c r="R68" s="5"/>
      <c r="S68" s="278"/>
      <c r="T68" s="278"/>
      <c r="U68" s="5"/>
      <c r="V68" s="5"/>
      <c r="W68" s="266"/>
    </row>
    <row r="69" spans="3:23" s="5" customFormat="1" ht="13.5" thickBot="1">
      <c r="C69" s="125"/>
      <c r="D69" s="125"/>
      <c r="E69" s="126"/>
      <c r="F69" s="125"/>
      <c r="H69" s="7"/>
      <c r="I69" s="7"/>
      <c r="J69" s="7"/>
      <c r="K69" s="7"/>
      <c r="L69" s="7"/>
      <c r="M69" s="7"/>
      <c r="N69" s="7"/>
      <c r="O69" s="269"/>
      <c r="P69" s="26"/>
      <c r="Q69" s="26"/>
      <c r="R69" s="26"/>
      <c r="S69" s="279"/>
      <c r="T69" s="279"/>
      <c r="U69" s="26"/>
      <c r="V69" s="26"/>
      <c r="W69" s="270"/>
    </row>
    <row r="70" spans="5:14" ht="12.75">
      <c r="E70" s="1"/>
      <c r="H70" s="1"/>
      <c r="I70" s="1"/>
      <c r="J70" s="1"/>
      <c r="K70" s="1"/>
      <c r="L70" s="1"/>
      <c r="M70" s="1"/>
      <c r="N70" s="1"/>
    </row>
    <row r="71" spans="5:14" ht="12.75">
      <c r="E71" s="1"/>
      <c r="H71" s="1"/>
      <c r="I71" s="1"/>
      <c r="J71" s="1"/>
      <c r="K71" s="1"/>
      <c r="L71" s="1"/>
      <c r="M71" s="1"/>
      <c r="N71" s="1"/>
    </row>
    <row r="72" spans="5:14" ht="12.75">
      <c r="E72" s="1"/>
      <c r="H72" s="1"/>
      <c r="I72" s="1"/>
      <c r="J72" s="1"/>
      <c r="K72" s="1"/>
      <c r="L72" s="1"/>
      <c r="M72" s="1"/>
      <c r="N72" s="1"/>
    </row>
    <row r="73" spans="5:14" ht="12.75">
      <c r="E73" s="1"/>
      <c r="H73" s="1"/>
      <c r="I73" s="1"/>
      <c r="J73" s="1"/>
      <c r="K73" s="1"/>
      <c r="L73" s="1"/>
      <c r="M73" s="1"/>
      <c r="N73" s="1"/>
    </row>
    <row r="74" spans="5:14" ht="12.75">
      <c r="E74" s="1"/>
      <c r="H74" s="1"/>
      <c r="I74" s="1"/>
      <c r="J74" s="1"/>
      <c r="K74" s="1"/>
      <c r="L74" s="1"/>
      <c r="M74" s="1"/>
      <c r="N74" s="1"/>
    </row>
    <row r="75" spans="5:14" ht="12.75">
      <c r="E75" s="1"/>
      <c r="H75" s="1"/>
      <c r="I75" s="1"/>
      <c r="J75" s="1"/>
      <c r="K75" s="1"/>
      <c r="L75" s="1"/>
      <c r="M75" s="1"/>
      <c r="N75" s="1"/>
    </row>
    <row r="76" spans="5:14" ht="12.75">
      <c r="E76" s="1"/>
      <c r="H76" s="1"/>
      <c r="I76" s="1"/>
      <c r="J76" s="1"/>
      <c r="K76" s="1"/>
      <c r="L76" s="1"/>
      <c r="M76" s="1"/>
      <c r="N76" s="1"/>
    </row>
    <row r="77" spans="1:14" ht="12.75">
      <c r="A77" s="8"/>
      <c r="B77" s="1"/>
      <c r="E77" s="1"/>
      <c r="H77" s="1"/>
      <c r="I77" s="1"/>
      <c r="J77" s="1"/>
      <c r="K77" s="1"/>
      <c r="L77" s="1"/>
      <c r="M77" s="1"/>
      <c r="N77" s="1"/>
    </row>
    <row r="78" spans="1:14" ht="12.75">
      <c r="A78" s="15"/>
      <c r="B78" s="1"/>
      <c r="E78" s="1"/>
      <c r="H78" s="1"/>
      <c r="I78" s="1"/>
      <c r="J78" s="1"/>
      <c r="K78" s="1"/>
      <c r="L78" s="1"/>
      <c r="M78" s="1"/>
      <c r="N78" s="1"/>
    </row>
    <row r="79" spans="1:14" ht="15.75">
      <c r="A79" s="16"/>
      <c r="B79" s="1"/>
      <c r="E79" s="1"/>
      <c r="H79" s="1"/>
      <c r="I79" s="1"/>
      <c r="J79" s="1"/>
      <c r="K79" s="1"/>
      <c r="L79" s="1"/>
      <c r="M79" s="1"/>
      <c r="N79" s="1"/>
    </row>
    <row r="80" spans="1:14" ht="15.75">
      <c r="A80" s="16"/>
      <c r="B80" s="1"/>
      <c r="E80" s="1"/>
      <c r="H80" s="1"/>
      <c r="I80" s="1"/>
      <c r="J80" s="1"/>
      <c r="K80" s="1"/>
      <c r="L80" s="1"/>
      <c r="M80" s="1"/>
      <c r="N80" s="1"/>
    </row>
    <row r="81" spans="1:14" ht="15.75">
      <c r="A81" s="16"/>
      <c r="B81" s="1"/>
      <c r="E81" s="1"/>
      <c r="H81" s="1"/>
      <c r="I81" s="1"/>
      <c r="J81" s="1"/>
      <c r="K81" s="1"/>
      <c r="L81" s="1"/>
      <c r="M81" s="1"/>
      <c r="N81" s="1"/>
    </row>
    <row r="82" spans="1:14" ht="15.75">
      <c r="A82" s="16"/>
      <c r="B82" s="1"/>
      <c r="E82" s="1"/>
      <c r="H82" s="1"/>
      <c r="I82" s="1"/>
      <c r="J82" s="1"/>
      <c r="K82" s="1"/>
      <c r="L82" s="1"/>
      <c r="M82" s="1"/>
      <c r="N82" s="1"/>
    </row>
    <row r="83" spans="1:14" ht="15.75">
      <c r="A83" s="16"/>
      <c r="B83" s="1"/>
      <c r="E83" s="1"/>
      <c r="H83" s="1"/>
      <c r="I83" s="1"/>
      <c r="J83" s="1"/>
      <c r="K83" s="1"/>
      <c r="L83" s="1"/>
      <c r="M83" s="1"/>
      <c r="N83" s="1"/>
    </row>
    <row r="84" spans="1:14" ht="15.75">
      <c r="A84" s="16"/>
      <c r="B84" s="1"/>
      <c r="E84" s="1"/>
      <c r="H84" s="1"/>
      <c r="I84" s="1"/>
      <c r="J84" s="1"/>
      <c r="K84" s="1"/>
      <c r="L84" s="1"/>
      <c r="M84" s="1"/>
      <c r="N84" s="1"/>
    </row>
    <row r="85" spans="1:14" ht="12.75">
      <c r="A85" s="7"/>
      <c r="B85" s="1"/>
      <c r="E85" s="1"/>
      <c r="H85" s="1"/>
      <c r="I85" s="1"/>
      <c r="J85" s="1"/>
      <c r="K85" s="1"/>
      <c r="L85" s="1"/>
      <c r="M85" s="1"/>
      <c r="N85" s="1"/>
    </row>
    <row r="86" spans="1:14" ht="12.75">
      <c r="A86" s="7"/>
      <c r="B86" s="1"/>
      <c r="E86" s="1"/>
      <c r="H86" s="1"/>
      <c r="I86" s="1"/>
      <c r="J86" s="1"/>
      <c r="K86" s="1"/>
      <c r="L86" s="1"/>
      <c r="M86" s="1"/>
      <c r="N86" s="1"/>
    </row>
    <row r="87" spans="1:14" ht="12.75">
      <c r="A87" s="7"/>
      <c r="B87" s="1"/>
      <c r="E87" s="1"/>
      <c r="H87" s="1"/>
      <c r="I87" s="1"/>
      <c r="J87" s="1"/>
      <c r="K87" s="1"/>
      <c r="L87" s="1"/>
      <c r="M87" s="1"/>
      <c r="N87" s="1"/>
    </row>
    <row r="88" spans="1:14" ht="12.75">
      <c r="A88" s="7"/>
      <c r="B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7"/>
      <c r="B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7"/>
      <c r="B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7"/>
      <c r="B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7"/>
      <c r="B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7"/>
      <c r="B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7"/>
      <c r="B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7:20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7:20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7:20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7:20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7:20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7:20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7:20" ht="12.7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8:20" ht="12.75">
      <c r="R115" s="1"/>
      <c r="S115" s="1"/>
      <c r="T115" s="1"/>
    </row>
    <row r="116" spans="18:20" ht="12.75">
      <c r="R116" s="1"/>
      <c r="S116" s="1"/>
      <c r="T116" s="1"/>
    </row>
    <row r="117" spans="18:20" ht="12.75">
      <c r="R117" s="1"/>
      <c r="S117" s="1"/>
      <c r="T117" s="1"/>
    </row>
    <row r="118" ht="12.75">
      <c r="T118" s="1"/>
    </row>
    <row r="119" ht="12.75">
      <c r="T119" s="1"/>
    </row>
    <row r="120" ht="12.75">
      <c r="T120" s="1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1" fitToWidth="1" horizontalDpi="300" verticalDpi="300" orientation="portrait" paperSize="9" scale="76" r:id="rId1"/>
  <headerFooter alignWithMargins="0">
    <oddHeader xml:space="preserve">&amp;C  </oddHeader>
    <oddFooter>&amp;L           &amp;A &amp;F &amp;D</oddFooter>
  </headerFooter>
  <rowBreaks count="1" manualBreakCount="1">
    <brk id="3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1"/>
  <sheetViews>
    <sheetView showZeros="0" zoomScale="75" zoomScaleNormal="75" workbookViewId="0" topLeftCell="A1">
      <selection activeCell="J45" sqref="J45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10.00390625" style="0" customWidth="1"/>
    <col min="4" max="4" width="13.7109375" style="0" customWidth="1"/>
    <col min="5" max="5" width="9.7109375" style="0" customWidth="1"/>
    <col min="6" max="6" width="9.8515625" style="0" customWidth="1"/>
    <col min="7" max="7" width="11.7109375" style="0" customWidth="1"/>
    <col min="8" max="8" width="9.28125" style="0" customWidth="1"/>
    <col min="9" max="9" width="9.00390625" style="0" customWidth="1"/>
    <col min="14" max="14" width="10.421875" style="0" customWidth="1"/>
    <col min="15" max="15" width="9.8515625" style="0" customWidth="1"/>
  </cols>
  <sheetData>
    <row r="1" spans="1:6" ht="16.5" customHeight="1" thickBot="1" thickTop="1">
      <c r="A1" s="241" t="s">
        <v>0</v>
      </c>
      <c r="B1" s="478"/>
      <c r="C1" s="476"/>
      <c r="D1" s="477"/>
      <c r="E1" s="240" t="s">
        <v>1</v>
      </c>
      <c r="F1" s="430"/>
    </row>
    <row r="2" spans="1:19" ht="15.75" customHeight="1">
      <c r="A2" s="485" t="s">
        <v>7</v>
      </c>
      <c r="B2" s="486"/>
      <c r="C2" s="491" t="s">
        <v>8</v>
      </c>
      <c r="D2" s="489"/>
      <c r="E2" s="490"/>
      <c r="F2" s="492"/>
      <c r="J2" s="577" t="s">
        <v>5</v>
      </c>
      <c r="K2" s="574" t="s">
        <v>495</v>
      </c>
      <c r="L2" s="574" t="s">
        <v>317</v>
      </c>
      <c r="M2" s="574" t="s">
        <v>13</v>
      </c>
      <c r="N2" s="574" t="s">
        <v>496</v>
      </c>
      <c r="O2" s="574" t="s">
        <v>12</v>
      </c>
      <c r="P2" s="575" t="s">
        <v>497</v>
      </c>
      <c r="Q2" s="575" t="s">
        <v>498</v>
      </c>
      <c r="R2" s="576" t="s">
        <v>499</v>
      </c>
      <c r="S2" s="577" t="s">
        <v>239</v>
      </c>
    </row>
    <row r="3" spans="1:19" ht="15.75" customHeight="1">
      <c r="A3" s="493"/>
      <c r="B3" s="541" t="s">
        <v>9</v>
      </c>
      <c r="C3" s="533"/>
      <c r="D3" s="480"/>
      <c r="E3" s="124" t="s">
        <v>10</v>
      </c>
      <c r="F3" s="237"/>
      <c r="J3" s="588">
        <f>B33</f>
        <v>0</v>
      </c>
      <c r="K3" s="589"/>
      <c r="L3" s="590">
        <f>B34</f>
        <v>0</v>
      </c>
      <c r="M3" s="589" t="s">
        <v>502</v>
      </c>
      <c r="N3" s="591">
        <f>F45</f>
        <v>0</v>
      </c>
      <c r="O3" s="589" t="s">
        <v>500</v>
      </c>
      <c r="P3" s="592">
        <f>L3*(11.7*(J3)-13.9)+N3</f>
        <v>0</v>
      </c>
      <c r="Q3" s="593">
        <f>P3*3/2.2</f>
        <v>0</v>
      </c>
      <c r="R3" s="594"/>
      <c r="S3" s="595">
        <f>F60</f>
        <v>0</v>
      </c>
    </row>
    <row r="4" spans="1:13" ht="15.75" customHeight="1">
      <c r="A4" s="538"/>
      <c r="B4" s="542" t="s">
        <v>20</v>
      </c>
      <c r="C4" s="488"/>
      <c r="D4" s="481"/>
      <c r="E4" s="124" t="s">
        <v>21</v>
      </c>
      <c r="F4" s="238"/>
      <c r="I4" s="1"/>
      <c r="J4" s="1"/>
      <c r="K4" s="1"/>
      <c r="L4" s="1"/>
      <c r="M4" s="1"/>
    </row>
    <row r="5" spans="1:13" ht="17.25" customHeight="1" thickBot="1">
      <c r="A5" s="60"/>
      <c r="B5" s="494" t="s">
        <v>25</v>
      </c>
      <c r="C5" s="479">
        <v>1</v>
      </c>
      <c r="D5" s="474"/>
      <c r="E5" s="236" t="s">
        <v>26</v>
      </c>
      <c r="F5" s="239"/>
      <c r="G5" s="7"/>
      <c r="H5" s="1"/>
      <c r="I5" s="1"/>
      <c r="J5" s="1"/>
      <c r="K5" s="1"/>
      <c r="L5" s="1"/>
      <c r="M5" s="1"/>
    </row>
    <row r="6" spans="1:37" ht="21.75" thickBot="1" thickTop="1">
      <c r="A6" s="426" t="s">
        <v>46</v>
      </c>
      <c r="B6" s="427"/>
      <c r="C6" s="427"/>
      <c r="D6" s="427"/>
      <c r="E6" s="427"/>
      <c r="F6" s="428"/>
      <c r="G6" s="13"/>
      <c r="H6" s="1"/>
      <c r="I6" s="1"/>
      <c r="J6" s="1"/>
      <c r="K6" s="1"/>
      <c r="L6" s="1"/>
      <c r="M6" s="1"/>
      <c r="R6" s="296" t="s">
        <v>209</v>
      </c>
      <c r="S6" s="297"/>
      <c r="T6" s="297"/>
      <c r="U6" s="298"/>
      <c r="V6" s="298"/>
      <c r="W6" s="298"/>
      <c r="X6" s="298"/>
      <c r="Y6" s="298"/>
      <c r="Z6" s="298"/>
      <c r="AA6" s="255"/>
      <c r="AC6" s="361" t="s">
        <v>2</v>
      </c>
      <c r="AD6" s="362" t="s">
        <v>210</v>
      </c>
      <c r="AE6" s="363" t="s">
        <v>4</v>
      </c>
      <c r="AF6" s="363"/>
      <c r="AG6" s="344"/>
      <c r="AH6" s="344"/>
      <c r="AI6" s="344"/>
      <c r="AJ6" s="344"/>
      <c r="AK6" s="345"/>
    </row>
    <row r="7" spans="1:37" ht="15.75" customHeight="1">
      <c r="A7" s="34"/>
      <c r="B7" s="5"/>
      <c r="C7" s="5"/>
      <c r="D7" s="447" t="s">
        <v>219</v>
      </c>
      <c r="E7" s="448"/>
      <c r="F7" s="246"/>
      <c r="G7" s="9"/>
      <c r="H7" s="2"/>
      <c r="K7" s="1"/>
      <c r="L7" s="1"/>
      <c r="M7" s="1"/>
      <c r="R7" s="299" t="s">
        <v>211</v>
      </c>
      <c r="S7" s="258"/>
      <c r="T7" s="258"/>
      <c r="U7" s="258" t="s">
        <v>212</v>
      </c>
      <c r="V7" s="105"/>
      <c r="W7" s="105" t="s">
        <v>213</v>
      </c>
      <c r="X7" s="105"/>
      <c r="Y7" s="105" t="s">
        <v>214</v>
      </c>
      <c r="Z7" s="105"/>
      <c r="AA7" s="300"/>
      <c r="AC7" s="268" t="s">
        <v>6</v>
      </c>
      <c r="AD7" s="346">
        <f>Ballmill!$F$33</f>
        <v>0</v>
      </c>
      <c r="AE7" s="5"/>
      <c r="AF7" s="5"/>
      <c r="AG7" s="5"/>
      <c r="AH7" s="5"/>
      <c r="AI7" s="5"/>
      <c r="AJ7" s="5"/>
      <c r="AK7" s="266"/>
    </row>
    <row r="8" spans="1:37" ht="12.75">
      <c r="A8" s="35" t="s">
        <v>41</v>
      </c>
      <c r="B8" s="431"/>
      <c r="C8" s="49"/>
      <c r="D8" s="449" t="s">
        <v>220</v>
      </c>
      <c r="E8" s="450">
        <v>0</v>
      </c>
      <c r="F8" s="36"/>
      <c r="G8" s="462" t="s">
        <v>221</v>
      </c>
      <c r="H8" s="9"/>
      <c r="K8" s="1"/>
      <c r="L8" s="1"/>
      <c r="M8" s="1"/>
      <c r="N8" s="1"/>
      <c r="O8" s="1"/>
      <c r="R8" s="289" t="s">
        <v>5</v>
      </c>
      <c r="S8" s="6" t="s">
        <v>215</v>
      </c>
      <c r="T8" s="6" t="s">
        <v>216</v>
      </c>
      <c r="U8" s="6" t="s">
        <v>6</v>
      </c>
      <c r="V8" s="19" t="s">
        <v>40</v>
      </c>
      <c r="W8" s="19" t="s">
        <v>6</v>
      </c>
      <c r="X8" s="19" t="s">
        <v>40</v>
      </c>
      <c r="Y8" s="5">
        <v>1</v>
      </c>
      <c r="Z8" s="5">
        <v>1.25</v>
      </c>
      <c r="AA8" s="249">
        <v>1.5</v>
      </c>
      <c r="AC8" s="268" t="s">
        <v>22</v>
      </c>
      <c r="AD8" s="347">
        <v>0.4</v>
      </c>
      <c r="AE8" s="5" t="s">
        <v>23</v>
      </c>
      <c r="AF8" s="5"/>
      <c r="AG8" s="5"/>
      <c r="AH8" s="5"/>
      <c r="AI8" s="5"/>
      <c r="AJ8" s="5"/>
      <c r="AK8" s="266"/>
    </row>
    <row r="9" spans="1:37" ht="12.75">
      <c r="A9" s="35" t="s">
        <v>44</v>
      </c>
      <c r="B9" s="436"/>
      <c r="C9" s="71"/>
      <c r="D9" s="18" t="s">
        <v>222</v>
      </c>
      <c r="E9" s="451">
        <v>0.8</v>
      </c>
      <c r="F9" s="36"/>
      <c r="G9" s="462" t="s">
        <v>223</v>
      </c>
      <c r="H9" s="9"/>
      <c r="I9" s="9"/>
      <c r="J9" s="9"/>
      <c r="K9" s="1"/>
      <c r="L9" s="1"/>
      <c r="M9" s="1"/>
      <c r="N9" s="1"/>
      <c r="O9" s="1"/>
      <c r="R9" s="289">
        <v>1</v>
      </c>
      <c r="S9" s="6">
        <f>T9*1.16/$C$5</f>
        <v>0</v>
      </c>
      <c r="T9" s="6">
        <f>($F$32/$C$5)*($R9^(-$O$29))/$N$29/$C$5</f>
        <v>0</v>
      </c>
      <c r="U9" s="6">
        <f>B33</f>
        <v>0</v>
      </c>
      <c r="V9" s="119">
        <f>B34</f>
        <v>0</v>
      </c>
      <c r="W9" s="293">
        <v>5.3</v>
      </c>
      <c r="X9" s="293">
        <v>7.5</v>
      </c>
      <c r="Y9" s="5">
        <f aca="true" t="shared" si="0" ref="Y9:AA25">$R9*Y$8</f>
        <v>1</v>
      </c>
      <c r="Z9" s="5">
        <f t="shared" si="0"/>
        <v>1.25</v>
      </c>
      <c r="AA9" s="249">
        <f t="shared" si="0"/>
        <v>1.5</v>
      </c>
      <c r="AC9" s="268" t="s">
        <v>27</v>
      </c>
      <c r="AD9" s="348">
        <v>9.814</v>
      </c>
      <c r="AE9" s="5"/>
      <c r="AF9" s="5"/>
      <c r="AG9" s="5"/>
      <c r="AH9" s="5"/>
      <c r="AI9" s="5"/>
      <c r="AJ9" s="5"/>
      <c r="AK9" s="266"/>
    </row>
    <row r="10" spans="1:37" ht="15.75">
      <c r="A10" s="72" t="s">
        <v>48</v>
      </c>
      <c r="B10" s="436"/>
      <c r="C10" s="49"/>
      <c r="D10" s="457" t="s">
        <v>224</v>
      </c>
      <c r="E10" s="458">
        <f>B8*(1-E8*E9)</f>
        <v>0</v>
      </c>
      <c r="F10" s="37"/>
      <c r="G10" t="s">
        <v>326</v>
      </c>
      <c r="H10" s="2"/>
      <c r="K10" s="2"/>
      <c r="R10" s="289">
        <v>1.5</v>
      </c>
      <c r="S10" s="6">
        <f aca="true" t="shared" si="1" ref="S10:S25">T10*1.16/$C$5</f>
        <v>0</v>
      </c>
      <c r="T10" s="6">
        <f aca="true" t="shared" si="2" ref="T10:T25">($F$32/$C$5)*($R10^(-$O$29))/$N$29/$C$5</f>
        <v>0</v>
      </c>
      <c r="U10" s="6"/>
      <c r="V10" s="5"/>
      <c r="W10" s="293">
        <v>4.9</v>
      </c>
      <c r="X10" s="293">
        <v>6</v>
      </c>
      <c r="Y10" s="5">
        <f t="shared" si="0"/>
        <v>1.5</v>
      </c>
      <c r="Z10" s="5">
        <f t="shared" si="0"/>
        <v>1.875</v>
      </c>
      <c r="AA10" s="249">
        <f t="shared" si="0"/>
        <v>2.25</v>
      </c>
      <c r="AC10" s="268" t="s">
        <v>28</v>
      </c>
      <c r="AD10" s="346">
        <f>B$42</f>
        <v>0</v>
      </c>
      <c r="AE10" s="5" t="s">
        <v>29</v>
      </c>
      <c r="AF10" s="5"/>
      <c r="AG10" s="5"/>
      <c r="AH10" s="5"/>
      <c r="AI10" s="5"/>
      <c r="AJ10" s="5"/>
      <c r="AK10" s="266"/>
    </row>
    <row r="11" spans="1:37" ht="15" customHeight="1">
      <c r="A11" s="72" t="s">
        <v>51</v>
      </c>
      <c r="B11" s="436"/>
      <c r="C11" s="49"/>
      <c r="D11" s="457" t="s">
        <v>226</v>
      </c>
      <c r="E11" s="458">
        <f>B10*(1+0.2*(E8*E9/(1-E8*E9)))</f>
        <v>0</v>
      </c>
      <c r="F11" s="38"/>
      <c r="G11" s="534" t="s">
        <v>227</v>
      </c>
      <c r="K11" s="2"/>
      <c r="L11" s="2"/>
      <c r="M11" s="2"/>
      <c r="N11" s="2"/>
      <c r="O11" s="2"/>
      <c r="R11" s="289">
        <v>2</v>
      </c>
      <c r="S11" s="6">
        <f t="shared" si="1"/>
        <v>0</v>
      </c>
      <c r="T11" s="6">
        <f t="shared" si="2"/>
        <v>0</v>
      </c>
      <c r="U11" s="6"/>
      <c r="V11" s="5"/>
      <c r="W11" s="293">
        <v>5.3</v>
      </c>
      <c r="X11" s="293">
        <v>6</v>
      </c>
      <c r="Y11" s="5">
        <f t="shared" si="0"/>
        <v>2</v>
      </c>
      <c r="Z11" s="5">
        <f t="shared" si="0"/>
        <v>2.5</v>
      </c>
      <c r="AA11" s="249">
        <f t="shared" si="0"/>
        <v>3</v>
      </c>
      <c r="AC11" s="268" t="s">
        <v>35</v>
      </c>
      <c r="AD11" s="346">
        <f>$B$41</f>
        <v>0</v>
      </c>
      <c r="AE11" s="5" t="s">
        <v>36</v>
      </c>
      <c r="AF11" s="5"/>
      <c r="AG11" s="5"/>
      <c r="AH11" s="5"/>
      <c r="AI11" s="5"/>
      <c r="AJ11" s="5"/>
      <c r="AK11" s="266"/>
    </row>
    <row r="12" spans="1:37" ht="12.75">
      <c r="A12" s="72" t="s">
        <v>64</v>
      </c>
      <c r="B12" s="436"/>
      <c r="C12" s="376" t="s">
        <v>469</v>
      </c>
      <c r="D12" s="546"/>
      <c r="E12" s="459"/>
      <c r="F12" s="77"/>
      <c r="K12" s="2"/>
      <c r="L12" s="2"/>
      <c r="M12" s="2"/>
      <c r="N12" s="2"/>
      <c r="O12" s="2"/>
      <c r="R12" s="289">
        <v>2.5</v>
      </c>
      <c r="S12" s="6">
        <f t="shared" si="1"/>
        <v>0</v>
      </c>
      <c r="T12" s="6">
        <f t="shared" si="2"/>
        <v>0</v>
      </c>
      <c r="U12" s="6"/>
      <c r="V12" s="5"/>
      <c r="W12" s="293">
        <v>5.8</v>
      </c>
      <c r="X12" s="293">
        <v>9</v>
      </c>
      <c r="Y12" s="5">
        <f t="shared" si="0"/>
        <v>2.5</v>
      </c>
      <c r="Z12" s="5">
        <f t="shared" si="0"/>
        <v>3.125</v>
      </c>
      <c r="AA12" s="249">
        <f t="shared" si="0"/>
        <v>3.75</v>
      </c>
      <c r="AC12" s="268" t="s">
        <v>39</v>
      </c>
      <c r="AD12" s="347">
        <v>1.26</v>
      </c>
      <c r="AE12" s="5"/>
      <c r="AF12" s="5"/>
      <c r="AG12" s="5"/>
      <c r="AH12" s="5"/>
      <c r="AI12" s="5"/>
      <c r="AJ12" s="5"/>
      <c r="AK12" s="266"/>
    </row>
    <row r="13" spans="1:37" ht="12.75">
      <c r="A13" s="35" t="s">
        <v>228</v>
      </c>
      <c r="B13" s="431"/>
      <c r="C13" s="129"/>
      <c r="D13" s="455" t="s">
        <v>229</v>
      </c>
      <c r="E13" s="460">
        <f>IF(E11&gt;B10,E11,B10)</f>
        <v>0</v>
      </c>
      <c r="F13" s="146"/>
      <c r="R13" s="289">
        <v>3</v>
      </c>
      <c r="S13" s="6">
        <f t="shared" si="1"/>
        <v>0</v>
      </c>
      <c r="T13" s="6">
        <f t="shared" si="2"/>
        <v>0</v>
      </c>
      <c r="U13" s="6"/>
      <c r="V13" s="5"/>
      <c r="W13" s="293">
        <v>2.4</v>
      </c>
      <c r="X13" s="294">
        <v>3.6</v>
      </c>
      <c r="Y13" s="5">
        <f t="shared" si="0"/>
        <v>3</v>
      </c>
      <c r="Z13" s="5">
        <f t="shared" si="0"/>
        <v>3.75</v>
      </c>
      <c r="AA13" s="249">
        <f t="shared" si="0"/>
        <v>4.5</v>
      </c>
      <c r="AC13" s="268" t="s">
        <v>40</v>
      </c>
      <c r="AD13" s="346">
        <f>$B$34</f>
        <v>0</v>
      </c>
      <c r="AE13" s="5"/>
      <c r="AF13" s="5"/>
      <c r="AG13" s="5"/>
      <c r="AH13" s="5"/>
      <c r="AI13" s="5"/>
      <c r="AJ13" s="5"/>
      <c r="AK13" s="266"/>
    </row>
    <row r="14" spans="1:37" ht="4.5" customHeight="1">
      <c r="A14" s="34"/>
      <c r="B14" s="9"/>
      <c r="C14" s="138"/>
      <c r="D14" s="134"/>
      <c r="E14" s="147"/>
      <c r="F14" s="146"/>
      <c r="H14" s="2"/>
      <c r="R14" s="289">
        <v>3.5</v>
      </c>
      <c r="S14" s="6">
        <f t="shared" si="1"/>
        <v>0</v>
      </c>
      <c r="T14" s="6">
        <f t="shared" si="2"/>
        <v>0</v>
      </c>
      <c r="U14" s="6"/>
      <c r="V14" s="5"/>
      <c r="W14" s="293">
        <v>2.1</v>
      </c>
      <c r="X14" s="294">
        <v>3.6</v>
      </c>
      <c r="Y14" s="5">
        <f t="shared" si="0"/>
        <v>3.5</v>
      </c>
      <c r="Z14" s="5">
        <f t="shared" si="0"/>
        <v>4.375</v>
      </c>
      <c r="AA14" s="249">
        <f t="shared" si="0"/>
        <v>5.25</v>
      </c>
      <c r="AC14" s="268" t="s">
        <v>43</v>
      </c>
      <c r="AD14" s="348"/>
      <c r="AE14" s="5"/>
      <c r="AF14" s="5"/>
      <c r="AG14" s="5"/>
      <c r="AH14" s="5"/>
      <c r="AI14" s="5"/>
      <c r="AJ14" s="5"/>
      <c r="AK14" s="266"/>
    </row>
    <row r="15" spans="1:37" ht="12.75">
      <c r="A15" s="115" t="s">
        <v>230</v>
      </c>
      <c r="B15" s="11"/>
      <c r="C15" s="125"/>
      <c r="D15" s="148" t="s">
        <v>231</v>
      </c>
      <c r="E15" s="147" t="s">
        <v>78</v>
      </c>
      <c r="F15" s="146"/>
      <c r="H15" s="2"/>
      <c r="R15" s="289">
        <v>4</v>
      </c>
      <c r="S15" s="6">
        <f t="shared" si="1"/>
        <v>0</v>
      </c>
      <c r="T15" s="6">
        <f t="shared" si="2"/>
        <v>0</v>
      </c>
      <c r="U15" s="6"/>
      <c r="V15" s="5"/>
      <c r="W15" s="293">
        <v>2.4</v>
      </c>
      <c r="X15" s="294">
        <v>3</v>
      </c>
      <c r="Y15" s="5">
        <f t="shared" si="0"/>
        <v>4</v>
      </c>
      <c r="Z15" s="5">
        <f t="shared" si="0"/>
        <v>5</v>
      </c>
      <c r="AA15" s="249">
        <f t="shared" si="0"/>
        <v>6</v>
      </c>
      <c r="AC15" s="268" t="s">
        <v>47</v>
      </c>
      <c r="AD15" s="357"/>
      <c r="AE15" s="5"/>
      <c r="AF15" s="5"/>
      <c r="AG15" s="5"/>
      <c r="AH15" s="5"/>
      <c r="AI15" s="5"/>
      <c r="AJ15" s="5"/>
      <c r="AK15" s="266"/>
    </row>
    <row r="16" spans="1:37" ht="12.75">
      <c r="A16" s="48" t="s">
        <v>232</v>
      </c>
      <c r="B16" s="431"/>
      <c r="C16" s="138"/>
      <c r="D16" s="149" t="s">
        <v>82</v>
      </c>
      <c r="E16" s="150">
        <f>IF(B16&gt;0,IF(B16=2,1.3,1),1)</f>
        <v>1</v>
      </c>
      <c r="F16" s="151"/>
      <c r="H16" s="2"/>
      <c r="R16" s="289">
        <v>4.5</v>
      </c>
      <c r="S16" s="6">
        <f t="shared" si="1"/>
        <v>0</v>
      </c>
      <c r="T16" s="6">
        <f t="shared" si="2"/>
        <v>0</v>
      </c>
      <c r="U16" s="6"/>
      <c r="V16" s="7"/>
      <c r="W16" s="294">
        <v>2.4</v>
      </c>
      <c r="X16" s="294">
        <v>4.2</v>
      </c>
      <c r="Y16" s="5">
        <f t="shared" si="0"/>
        <v>4.5</v>
      </c>
      <c r="Z16" s="5">
        <f t="shared" si="0"/>
        <v>5.625</v>
      </c>
      <c r="AA16" s="249">
        <f t="shared" si="0"/>
        <v>6.75</v>
      </c>
      <c r="AC16" s="268" t="s">
        <v>50</v>
      </c>
      <c r="AD16" s="348"/>
      <c r="AE16" s="5"/>
      <c r="AF16" s="5"/>
      <c r="AG16" s="5"/>
      <c r="AH16" s="5"/>
      <c r="AI16" s="5"/>
      <c r="AJ16" s="5"/>
      <c r="AK16" s="266"/>
    </row>
    <row r="17" spans="1:37" ht="12.75">
      <c r="A17" s="48" t="s">
        <v>233</v>
      </c>
      <c r="B17" s="431"/>
      <c r="C17" s="138"/>
      <c r="D17" s="149" t="s">
        <v>234</v>
      </c>
      <c r="E17" s="150">
        <f>IF(B17&gt;0,IF(B17=1,1.2,1),1)</f>
        <v>1</v>
      </c>
      <c r="F17" s="151"/>
      <c r="H17" s="2"/>
      <c r="R17" s="289">
        <v>5</v>
      </c>
      <c r="S17" s="6">
        <f t="shared" si="1"/>
        <v>0</v>
      </c>
      <c r="T17" s="6">
        <f t="shared" si="2"/>
        <v>0</v>
      </c>
      <c r="U17" s="6"/>
      <c r="V17" s="7"/>
      <c r="W17" s="294">
        <v>2.8</v>
      </c>
      <c r="X17" s="294">
        <v>3.6</v>
      </c>
      <c r="Y17" s="5">
        <f t="shared" si="0"/>
        <v>5</v>
      </c>
      <c r="Z17" s="5">
        <f t="shared" si="0"/>
        <v>6.25</v>
      </c>
      <c r="AA17" s="249">
        <f t="shared" si="0"/>
        <v>7.5</v>
      </c>
      <c r="AC17" s="268" t="s">
        <v>53</v>
      </c>
      <c r="AD17" s="349">
        <f>$F$39/60</f>
        <v>0</v>
      </c>
      <c r="AE17" s="5"/>
      <c r="AF17" s="5"/>
      <c r="AG17" s="5"/>
      <c r="AH17" s="5"/>
      <c r="AI17" s="5"/>
      <c r="AJ17" s="5"/>
      <c r="AK17" s="266"/>
    </row>
    <row r="18" spans="1:37" ht="12.75">
      <c r="A18" s="48" t="s">
        <v>235</v>
      </c>
      <c r="B18" s="431"/>
      <c r="C18" s="125"/>
      <c r="D18" s="149" t="s">
        <v>86</v>
      </c>
      <c r="E18" s="150">
        <f>IF(F33&gt;0,IF(F33&gt;3.81,1,(2.44/F33)^0.2),1)</f>
        <v>1</v>
      </c>
      <c r="F18" s="151"/>
      <c r="G18" s="150">
        <f>IF(F33&gt;0,IF(F33&gt;3.81,0.914,(2.44/F33)^0.2),1)</f>
        <v>1</v>
      </c>
      <c r="H18" t="s">
        <v>468</v>
      </c>
      <c r="R18" s="289">
        <v>5.5</v>
      </c>
      <c r="S18" s="6">
        <f t="shared" si="1"/>
        <v>0</v>
      </c>
      <c r="T18" s="6">
        <f t="shared" si="2"/>
        <v>0</v>
      </c>
      <c r="U18" s="6"/>
      <c r="V18" s="7"/>
      <c r="W18" s="294">
        <v>2.8</v>
      </c>
      <c r="X18" s="294">
        <v>4.8</v>
      </c>
      <c r="Y18" s="5">
        <f t="shared" si="0"/>
        <v>5.5</v>
      </c>
      <c r="Z18" s="5">
        <f t="shared" si="0"/>
        <v>6.875</v>
      </c>
      <c r="AA18" s="249">
        <f t="shared" si="0"/>
        <v>8.25</v>
      </c>
      <c r="AC18" s="268" t="s">
        <v>59</v>
      </c>
      <c r="AD18" s="348"/>
      <c r="AE18" s="5"/>
      <c r="AF18" s="5"/>
      <c r="AG18" s="5"/>
      <c r="AH18" s="5"/>
      <c r="AI18" s="5"/>
      <c r="AJ18" s="5"/>
      <c r="AK18" s="266"/>
    </row>
    <row r="19" spans="1:37" ht="12.75">
      <c r="A19" s="34"/>
      <c r="B19" s="11"/>
      <c r="C19" s="129"/>
      <c r="D19" s="149" t="s">
        <v>88</v>
      </c>
      <c r="E19" s="150">
        <f>IF(B11&gt;0,IF(E13&lt;4000*(13/(B12/1.103))^0.5,1,1+(B12/1.103-7)*((E13/(4000*(13/(B12/1.103))^0.5))-1)/(E13/B11)),1)</f>
        <v>1</v>
      </c>
      <c r="F19" s="151"/>
      <c r="G19" s="9"/>
      <c r="H19" s="4"/>
      <c r="R19" s="289">
        <v>6</v>
      </c>
      <c r="S19" s="6">
        <f t="shared" si="1"/>
        <v>0</v>
      </c>
      <c r="T19" s="6">
        <f t="shared" si="2"/>
        <v>0</v>
      </c>
      <c r="U19" s="6"/>
      <c r="V19" s="7"/>
      <c r="W19" s="294">
        <v>5.4</v>
      </c>
      <c r="X19" s="294">
        <v>7.9</v>
      </c>
      <c r="Y19" s="5">
        <f t="shared" si="0"/>
        <v>6</v>
      </c>
      <c r="Z19" s="5">
        <f t="shared" si="0"/>
        <v>7.5</v>
      </c>
      <c r="AA19" s="249">
        <f t="shared" si="0"/>
        <v>9</v>
      </c>
      <c r="AC19" s="268" t="s">
        <v>63</v>
      </c>
      <c r="AD19" s="350" t="e">
        <f>AE19*AF19*AG19+(AH19*AI19)</f>
        <v>#DIV/0!</v>
      </c>
      <c r="AE19" s="351" t="e">
        <f>PI()*AD9*AD13*AD17*AD28/(3*(AD28-AD38*AD26))</f>
        <v>#DIV/0!</v>
      </c>
      <c r="AF19" s="351" t="e">
        <f>2*AD28^3-3*AD38*AD28^2*AD26+AD26^3*(3*AD38-2)</f>
        <v>#DIV/0!</v>
      </c>
      <c r="AG19" s="351" t="e">
        <f>AD45*(SIN(AD42)-SIN(AD43))+AD48*(SIN(AD43)-SIN(AD44))</f>
        <v>#DIV/0!</v>
      </c>
      <c r="AH19" s="351" t="e">
        <f>AD13*AD45*(AD17*AD28*PI()/(AD28-AD38*AD26))^3</f>
        <v>#DIV/0!</v>
      </c>
      <c r="AI19" s="351" t="e">
        <f>(AD28-AD38*AD26)^4-(AD26^4)*(AD38-1)^4</f>
        <v>#DIV/0!</v>
      </c>
      <c r="AJ19" s="5">
        <v>12</v>
      </c>
      <c r="AK19" s="266"/>
    </row>
    <row r="20" spans="1:37" ht="12.75">
      <c r="A20" s="34"/>
      <c r="B20" s="11"/>
      <c r="C20" s="129"/>
      <c r="D20" s="149" t="s">
        <v>90</v>
      </c>
      <c r="E20" s="150">
        <f>IF(B11&gt;0,IF(B11&lt;75,(B11+10.3)/(1.145*B11),1),1)</f>
        <v>1</v>
      </c>
      <c r="F20" s="133"/>
      <c r="N20" s="281">
        <f>IF(B11&gt;0,E13/B11,)</f>
        <v>0</v>
      </c>
      <c r="O20" s="282" t="s">
        <v>91</v>
      </c>
      <c r="R20" s="289">
        <v>6.5</v>
      </c>
      <c r="S20" s="6">
        <f t="shared" si="1"/>
        <v>0</v>
      </c>
      <c r="T20" s="6">
        <f t="shared" si="2"/>
        <v>0</v>
      </c>
      <c r="U20" s="6"/>
      <c r="V20" s="7"/>
      <c r="W20" s="294">
        <v>3</v>
      </c>
      <c r="X20" s="294">
        <v>4.2</v>
      </c>
      <c r="Y20" s="5">
        <f t="shared" si="0"/>
        <v>6.5</v>
      </c>
      <c r="Z20" s="5">
        <f t="shared" si="0"/>
        <v>8.125</v>
      </c>
      <c r="AA20" s="249">
        <f t="shared" si="0"/>
        <v>9.75</v>
      </c>
      <c r="AC20" s="268" t="s">
        <v>67</v>
      </c>
      <c r="AD20" s="350" t="e">
        <f>AE20*AF20*AG20+AH20*AI20</f>
        <v>#DIV/0!</v>
      </c>
      <c r="AE20" s="351" t="e">
        <f>PI()*AD9*AD15*AD17/(3*(AD28-AD29))</f>
        <v>#DIV/0!</v>
      </c>
      <c r="AF20" s="351" t="e">
        <f>AD28^4-4*AD28*AD26^3+3*AD26^4</f>
        <v>#DIV/0!</v>
      </c>
      <c r="AG20" s="351" t="e">
        <f>AD45*(SIN(AD42)-SIN(AD43))+AD48*(SIN(AD43)-SIN(AD44))</f>
        <v>#DIV/0!</v>
      </c>
      <c r="AH20" s="351" t="e">
        <f>(2*(PI()^3)*(AD17^3)*AD15*AD45)/(5*(AD28-AD26))</f>
        <v>#DIV/0!</v>
      </c>
      <c r="AI20" s="351" t="e">
        <f>(AD28^5)-5*AD28*(AD26^4)+4*(AD26^5)</f>
        <v>#DIV/0!</v>
      </c>
      <c r="AJ20" s="5">
        <v>13</v>
      </c>
      <c r="AK20" s="266"/>
    </row>
    <row r="21" spans="1:37" ht="12.75">
      <c r="A21" s="34"/>
      <c r="B21" s="11"/>
      <c r="C21" s="129"/>
      <c r="D21" s="149" t="s">
        <v>237</v>
      </c>
      <c r="E21" s="274">
        <v>1</v>
      </c>
      <c r="F21" s="133"/>
      <c r="N21" s="272" t="e">
        <f>8+5*(B34-0.15)/B33</f>
        <v>#DIV/0!</v>
      </c>
      <c r="O21" s="283" t="s">
        <v>94</v>
      </c>
      <c r="R21" s="289">
        <v>7</v>
      </c>
      <c r="S21" s="6">
        <f t="shared" si="1"/>
        <v>0</v>
      </c>
      <c r="T21" s="6">
        <f t="shared" si="2"/>
        <v>0</v>
      </c>
      <c r="U21" s="7"/>
      <c r="V21" s="7"/>
      <c r="W21" s="294">
        <v>3.2</v>
      </c>
      <c r="X21" s="294">
        <v>4.2</v>
      </c>
      <c r="Y21" s="5">
        <f t="shared" si="0"/>
        <v>7</v>
      </c>
      <c r="Z21" s="5">
        <f t="shared" si="0"/>
        <v>8.75</v>
      </c>
      <c r="AA21" s="249">
        <f t="shared" si="0"/>
        <v>10.5</v>
      </c>
      <c r="AC21" s="268" t="s">
        <v>70</v>
      </c>
      <c r="AD21" s="350">
        <f>1.68*AD7^2.05*(AD40*(0.667*AD15+AD13))^0.82</f>
        <v>0</v>
      </c>
      <c r="AE21" s="351"/>
      <c r="AF21" s="352">
        <v>14</v>
      </c>
      <c r="AG21" s="351"/>
      <c r="AH21" s="351"/>
      <c r="AI21" s="351"/>
      <c r="AJ21" s="5"/>
      <c r="AK21" s="266"/>
    </row>
    <row r="22" spans="1:37" ht="20.25">
      <c r="A22" s="40"/>
      <c r="B22" s="11"/>
      <c r="C22" s="125"/>
      <c r="D22" s="149" t="s">
        <v>96</v>
      </c>
      <c r="E22" s="150">
        <f>IF(N20&gt;0,IF(N20&lt;6,IF(N20&gt;1.35,1+0.26/(2*(N20-1.35)),"Too low"),1),1)</f>
        <v>1</v>
      </c>
      <c r="F22" s="151"/>
      <c r="N22" s="284" t="e">
        <f>N20-N21</f>
        <v>#DIV/0!</v>
      </c>
      <c r="O22" s="285" t="s">
        <v>236</v>
      </c>
      <c r="R22" s="289">
        <v>7.5</v>
      </c>
      <c r="S22" s="6">
        <f t="shared" si="1"/>
        <v>0</v>
      </c>
      <c r="T22" s="6">
        <f t="shared" si="2"/>
        <v>0</v>
      </c>
      <c r="U22" s="7"/>
      <c r="V22" s="7"/>
      <c r="W22" s="294">
        <v>5.4</v>
      </c>
      <c r="X22" s="294">
        <v>6.7</v>
      </c>
      <c r="Y22" s="5">
        <f t="shared" si="0"/>
        <v>7.5</v>
      </c>
      <c r="Z22" s="5">
        <f t="shared" si="0"/>
        <v>9.375</v>
      </c>
      <c r="AA22" s="249">
        <f t="shared" si="0"/>
        <v>11.25</v>
      </c>
      <c r="AC22" s="353" t="s">
        <v>72</v>
      </c>
      <c r="AD22" s="354" t="e">
        <f>AD21+(AD12*(AD19+AD20))</f>
        <v>#DIV/0!</v>
      </c>
      <c r="AE22" s="355"/>
      <c r="AF22" s="352">
        <v>15</v>
      </c>
      <c r="AG22" s="355"/>
      <c r="AH22" s="355"/>
      <c r="AI22" s="355"/>
      <c r="AJ22" s="31"/>
      <c r="AK22" s="266"/>
    </row>
    <row r="23" spans="1:37" ht="12.75">
      <c r="A23" s="40"/>
      <c r="B23" s="5"/>
      <c r="C23" s="125"/>
      <c r="D23" s="152" t="s">
        <v>99</v>
      </c>
      <c r="E23" s="280">
        <v>1</v>
      </c>
      <c r="F23" s="154"/>
      <c r="G23" s="104"/>
      <c r="H23" s="4"/>
      <c r="R23" s="289">
        <v>8</v>
      </c>
      <c r="S23" s="6">
        <f t="shared" si="1"/>
        <v>0</v>
      </c>
      <c r="T23" s="6">
        <f t="shared" si="2"/>
        <v>0</v>
      </c>
      <c r="U23" s="7"/>
      <c r="V23" s="7"/>
      <c r="W23" s="294">
        <v>3.5</v>
      </c>
      <c r="X23" s="294">
        <v>4.8</v>
      </c>
      <c r="Y23" s="5">
        <f t="shared" si="0"/>
        <v>8</v>
      </c>
      <c r="Z23" s="5">
        <f t="shared" si="0"/>
        <v>10</v>
      </c>
      <c r="AA23" s="249">
        <f t="shared" si="0"/>
        <v>12</v>
      </c>
      <c r="AC23" s="268" t="s">
        <v>74</v>
      </c>
      <c r="AD23" s="348"/>
      <c r="AE23" s="5"/>
      <c r="AF23" s="5"/>
      <c r="AG23" s="5"/>
      <c r="AH23" s="5"/>
      <c r="AI23" s="5"/>
      <c r="AJ23" s="5"/>
      <c r="AK23" s="266"/>
    </row>
    <row r="24" spans="1:37" ht="12.75">
      <c r="A24" s="34"/>
      <c r="B24" s="5"/>
      <c r="C24" s="125"/>
      <c r="D24" s="155" t="s">
        <v>102</v>
      </c>
      <c r="E24" s="156">
        <f>E16*E17*E18*E19*E20*E21*E22*E23</f>
        <v>1</v>
      </c>
      <c r="F24" s="157"/>
      <c r="G24" s="9"/>
      <c r="H24" s="4"/>
      <c r="R24" s="289">
        <v>8.5</v>
      </c>
      <c r="S24" s="6">
        <f t="shared" si="1"/>
        <v>0</v>
      </c>
      <c r="T24" s="6">
        <f t="shared" si="2"/>
        <v>0</v>
      </c>
      <c r="U24" s="7"/>
      <c r="V24" s="7"/>
      <c r="W24" s="294">
        <v>3</v>
      </c>
      <c r="X24" s="294">
        <v>4.8</v>
      </c>
      <c r="Y24" s="5">
        <f t="shared" si="0"/>
        <v>8.5</v>
      </c>
      <c r="Z24" s="5">
        <f t="shared" si="0"/>
        <v>10.625</v>
      </c>
      <c r="AA24" s="249">
        <f t="shared" si="0"/>
        <v>12.75</v>
      </c>
      <c r="AC24" s="268" t="s">
        <v>79</v>
      </c>
      <c r="AD24" s="348"/>
      <c r="AE24" s="5"/>
      <c r="AF24" s="5"/>
      <c r="AG24" s="5"/>
      <c r="AH24" s="5"/>
      <c r="AI24" s="5"/>
      <c r="AJ24" s="5"/>
      <c r="AK24" s="266"/>
    </row>
    <row r="25" spans="1:37" ht="4.5" customHeight="1">
      <c r="A25" s="34"/>
      <c r="B25" s="5"/>
      <c r="C25" s="125"/>
      <c r="D25" s="155"/>
      <c r="E25" s="156"/>
      <c r="F25" s="157"/>
      <c r="G25" s="9"/>
      <c r="H25" s="4"/>
      <c r="R25" s="289">
        <v>9</v>
      </c>
      <c r="S25" s="6">
        <f t="shared" si="1"/>
        <v>0</v>
      </c>
      <c r="T25" s="6">
        <f t="shared" si="2"/>
        <v>0</v>
      </c>
      <c r="U25" s="7"/>
      <c r="V25" s="7"/>
      <c r="W25" s="294">
        <v>3.5</v>
      </c>
      <c r="X25" s="294">
        <v>5.4</v>
      </c>
      <c r="Y25" s="5">
        <f t="shared" si="0"/>
        <v>9</v>
      </c>
      <c r="Z25" s="5">
        <f t="shared" si="0"/>
        <v>11.25</v>
      </c>
      <c r="AA25" s="249">
        <f t="shared" si="0"/>
        <v>13.5</v>
      </c>
      <c r="AC25" s="268" t="s">
        <v>80</v>
      </c>
      <c r="AD25" s="348"/>
      <c r="AE25" s="5"/>
      <c r="AF25" s="5"/>
      <c r="AG25" s="5"/>
      <c r="AH25" s="5"/>
      <c r="AI25" s="5"/>
      <c r="AJ25" s="5"/>
      <c r="AK25" s="266"/>
    </row>
    <row r="26" spans="1:37" ht="12.75">
      <c r="A26" s="34"/>
      <c r="B26" s="76"/>
      <c r="C26" s="158"/>
      <c r="D26" s="125"/>
      <c r="E26" s="134" t="s">
        <v>240</v>
      </c>
      <c r="F26" s="159">
        <f>IF(E13&gt;0,10*B12*(B11^(-0.5)-E13^(-0.5)),)</f>
        <v>0</v>
      </c>
      <c r="H26" s="4"/>
      <c r="R26" s="290"/>
      <c r="S26" s="5"/>
      <c r="T26" s="5"/>
      <c r="U26" s="5"/>
      <c r="V26" s="5"/>
      <c r="W26" s="293">
        <v>4</v>
      </c>
      <c r="X26" s="293">
        <v>5.4</v>
      </c>
      <c r="Y26" s="5"/>
      <c r="Z26" s="5"/>
      <c r="AA26" s="249"/>
      <c r="AC26" s="268" t="s">
        <v>83</v>
      </c>
      <c r="AD26" s="356" t="e">
        <f>AD28*(1-(2*PI()*AD39*AD11)/(2*PI()+AD42-AD43))^0.5</f>
        <v>#DIV/0!</v>
      </c>
      <c r="AE26" s="5"/>
      <c r="AF26" s="5">
        <v>10</v>
      </c>
      <c r="AG26" s="5"/>
      <c r="AH26" s="5"/>
      <c r="AI26" s="5"/>
      <c r="AJ26" s="5"/>
      <c r="AK26" s="266"/>
    </row>
    <row r="27" spans="1:37" ht="12.75">
      <c r="A27" s="41"/>
      <c r="B27" s="25"/>
      <c r="C27" s="160"/>
      <c r="D27" s="125"/>
      <c r="E27" s="161" t="s">
        <v>241</v>
      </c>
      <c r="F27" s="159">
        <f>IF(E13&gt;0,10*B12*(B11^(-0.5)-E13^(-0.5))*E24,)</f>
        <v>0</v>
      </c>
      <c r="G27" s="10"/>
      <c r="L27" s="4"/>
      <c r="M27" s="4"/>
      <c r="N27" s="382" t="s">
        <v>238</v>
      </c>
      <c r="O27" s="383" t="s">
        <v>239</v>
      </c>
      <c r="R27" s="290"/>
      <c r="S27" s="5"/>
      <c r="T27" s="5"/>
      <c r="U27" s="5"/>
      <c r="V27" s="5"/>
      <c r="W27" s="293">
        <v>4</v>
      </c>
      <c r="X27" s="293">
        <v>6</v>
      </c>
      <c r="Y27" s="5"/>
      <c r="Z27" s="5"/>
      <c r="AA27" s="249"/>
      <c r="AC27" s="268" t="s">
        <v>85</v>
      </c>
      <c r="AD27" s="356">
        <f>(AD28/2)*(1+(1-(2*PI()*AD11)/(2*PI()+AD42-AD43))^0.5)</f>
        <v>0</v>
      </c>
      <c r="AE27" s="5"/>
      <c r="AF27" s="5">
        <v>7</v>
      </c>
      <c r="AG27" s="5"/>
      <c r="AH27" s="5"/>
      <c r="AI27" s="5"/>
      <c r="AJ27" s="5"/>
      <c r="AK27" s="266"/>
    </row>
    <row r="28" spans="1:37" ht="12.75">
      <c r="A28" s="41"/>
      <c r="B28" s="25"/>
      <c r="C28" s="160"/>
      <c r="D28" s="125"/>
      <c r="E28" s="454" t="s">
        <v>242</v>
      </c>
      <c r="F28" s="159">
        <f>IF(B8&gt;0,F29/B8,0)</f>
        <v>0</v>
      </c>
      <c r="G28" s="10"/>
      <c r="L28" s="4"/>
      <c r="M28" s="4"/>
      <c r="N28" s="452"/>
      <c r="O28" s="453"/>
      <c r="R28" s="290"/>
      <c r="S28" s="5"/>
      <c r="T28" s="5"/>
      <c r="U28" s="5"/>
      <c r="V28" s="5"/>
      <c r="W28" s="293">
        <v>4.1</v>
      </c>
      <c r="X28" s="293">
        <v>5.4</v>
      </c>
      <c r="Y28" s="5"/>
      <c r="Z28" s="5"/>
      <c r="AA28" s="249"/>
      <c r="AC28" s="268" t="s">
        <v>87</v>
      </c>
      <c r="AD28" s="357">
        <f>AD7/2</f>
        <v>0</v>
      </c>
      <c r="AE28" s="5"/>
      <c r="AF28" s="5"/>
      <c r="AG28" s="5"/>
      <c r="AH28" s="5"/>
      <c r="AI28" s="5"/>
      <c r="AJ28" s="5"/>
      <c r="AK28" s="266"/>
    </row>
    <row r="29" spans="1:37" ht="20.25" customHeight="1">
      <c r="A29" s="109"/>
      <c r="B29" s="31"/>
      <c r="C29" s="162"/>
      <c r="D29" s="162"/>
      <c r="E29" s="163" t="s">
        <v>116</v>
      </c>
      <c r="F29" s="164">
        <f>F27*E10</f>
        <v>0</v>
      </c>
      <c r="G29" s="11"/>
      <c r="L29" s="3"/>
      <c r="M29" s="3"/>
      <c r="N29" s="384">
        <v>10.552</v>
      </c>
      <c r="O29" s="385">
        <v>2.2014</v>
      </c>
      <c r="R29" s="290"/>
      <c r="S29" s="5"/>
      <c r="T29" s="5"/>
      <c r="U29" s="5"/>
      <c r="V29" s="5"/>
      <c r="W29" s="293">
        <v>4.1</v>
      </c>
      <c r="X29" s="293">
        <v>6</v>
      </c>
      <c r="Y29" s="5"/>
      <c r="Z29" s="5"/>
      <c r="AA29" s="249"/>
      <c r="AC29" s="268" t="s">
        <v>89</v>
      </c>
      <c r="AD29" s="357">
        <f>AD28*0.25</f>
        <v>0</v>
      </c>
      <c r="AE29" s="5"/>
      <c r="AF29" s="5"/>
      <c r="AG29" s="5"/>
      <c r="AH29" s="5"/>
      <c r="AI29" s="5"/>
      <c r="AJ29" s="5"/>
      <c r="AK29" s="266"/>
    </row>
    <row r="30" spans="1:37" s="7" customFormat="1" ht="14.25" customHeight="1" thickBot="1">
      <c r="A30" s="102"/>
      <c r="C30" s="126"/>
      <c r="D30" s="126"/>
      <c r="E30" s="144"/>
      <c r="F30" s="165"/>
      <c r="G30" s="14"/>
      <c r="H30" s="13"/>
      <c r="K30" s="13"/>
      <c r="L30" s="6"/>
      <c r="M30" s="6"/>
      <c r="N30" s="6"/>
      <c r="O30" s="6"/>
      <c r="R30" s="290"/>
      <c r="S30" s="5"/>
      <c r="T30" s="5"/>
      <c r="U30" s="5"/>
      <c r="V30" s="5"/>
      <c r="W30" s="293">
        <v>4.2</v>
      </c>
      <c r="X30" s="293">
        <v>5.4</v>
      </c>
      <c r="Y30" s="5"/>
      <c r="Z30" s="5"/>
      <c r="AA30" s="249"/>
      <c r="AB30"/>
      <c r="AC30" s="268" t="s">
        <v>92</v>
      </c>
      <c r="AD30" s="348"/>
      <c r="AE30" s="5"/>
      <c r="AF30" s="5"/>
      <c r="AG30" s="5"/>
      <c r="AH30" s="5"/>
      <c r="AI30" s="5"/>
      <c r="AJ30" s="5"/>
      <c r="AK30" s="266"/>
    </row>
    <row r="31" spans="1:37" ht="21" thickBot="1">
      <c r="A31" s="424" t="s">
        <v>245</v>
      </c>
      <c r="B31" s="120"/>
      <c r="C31" s="168"/>
      <c r="D31" s="169"/>
      <c r="E31" s="169"/>
      <c r="F31" s="170"/>
      <c r="G31" s="112" t="s">
        <v>140</v>
      </c>
      <c r="H31" s="474">
        <f>C5</f>
        <v>1</v>
      </c>
      <c r="K31" s="2"/>
      <c r="L31" s="3"/>
      <c r="M31" s="3"/>
      <c r="N31" s="3"/>
      <c r="O31" s="3"/>
      <c r="R31" s="290"/>
      <c r="S31" s="5"/>
      <c r="T31" s="5"/>
      <c r="U31" s="5"/>
      <c r="V31" s="5"/>
      <c r="W31" s="293">
        <v>4.4</v>
      </c>
      <c r="X31" s="293">
        <v>6</v>
      </c>
      <c r="Y31" s="5"/>
      <c r="Z31" s="5"/>
      <c r="AA31" s="249"/>
      <c r="AC31" s="268" t="s">
        <v>95</v>
      </c>
      <c r="AD31" s="349" t="e">
        <f>AE31/(AE31+AE32*(100-AE31))</f>
        <v>#DIV/0!</v>
      </c>
      <c r="AE31" s="358">
        <f>$B$40*100</f>
        <v>0</v>
      </c>
      <c r="AF31" s="5"/>
      <c r="AG31" s="5"/>
      <c r="AH31" s="5"/>
      <c r="AI31" s="5"/>
      <c r="AJ31" s="5"/>
      <c r="AK31" s="266"/>
    </row>
    <row r="32" spans="1:37" ht="34.5">
      <c r="A32" s="123" t="str">
        <f>IF(B34&gt;14,"BEWARE - MILL TOO LONG"," ")</f>
        <v> </v>
      </c>
      <c r="B32" s="106"/>
      <c r="C32" s="130" t="s">
        <v>142</v>
      </c>
      <c r="D32" s="171"/>
      <c r="E32" s="172" t="s">
        <v>143</v>
      </c>
      <c r="F32" s="173">
        <f>F29</f>
        <v>0</v>
      </c>
      <c r="G32" s="111" t="s">
        <v>144</v>
      </c>
      <c r="H32" s="80" t="s">
        <v>145</v>
      </c>
      <c r="I32" s="81" t="s">
        <v>146</v>
      </c>
      <c r="J32" s="4"/>
      <c r="K32" s="90"/>
      <c r="L32" s="91"/>
      <c r="M32" s="3"/>
      <c r="N32" s="579" t="s">
        <v>5</v>
      </c>
      <c r="O32" s="580"/>
      <c r="P32" s="579" t="s">
        <v>317</v>
      </c>
      <c r="Q32" s="580"/>
      <c r="R32" s="290"/>
      <c r="S32" s="5"/>
      <c r="T32" s="5"/>
      <c r="U32" s="5"/>
      <c r="V32" s="5"/>
      <c r="W32" s="293">
        <v>4.5</v>
      </c>
      <c r="X32" s="293">
        <v>6</v>
      </c>
      <c r="Y32" s="5"/>
      <c r="Z32" s="5"/>
      <c r="AA32" s="249"/>
      <c r="AC32" s="268" t="s">
        <v>98</v>
      </c>
      <c r="AD32" s="356" t="e">
        <f>(2*PI()-AD43+AD42)/(2*PI()*(AD17/2))</f>
        <v>#DIV/0!</v>
      </c>
      <c r="AE32" s="346">
        <f>$B$9</f>
        <v>0</v>
      </c>
      <c r="AF32" s="5">
        <v>6</v>
      </c>
      <c r="AG32" s="5"/>
      <c r="AH32" s="5"/>
      <c r="AI32" s="5"/>
      <c r="AJ32" s="5"/>
      <c r="AK32" s="266"/>
    </row>
    <row r="33" spans="1:37" ht="12.75">
      <c r="A33" s="35" t="s">
        <v>246</v>
      </c>
      <c r="B33" s="436"/>
      <c r="C33" s="445">
        <f>B33*3.2808</f>
        <v>0</v>
      </c>
      <c r="D33" s="125"/>
      <c r="E33" s="134" t="s">
        <v>160</v>
      </c>
      <c r="F33" s="135">
        <f>IF(B33&gt;0,B33-2*B35,)</f>
        <v>0</v>
      </c>
      <c r="G33" s="333">
        <v>1.5</v>
      </c>
      <c r="H33" s="87">
        <f>IF(H31&gt;0,ROUNDDOWN(((($F$29/H31)/($G$33*N29))^(1/(O29+1)))*2,0)/2,)</f>
        <v>0</v>
      </c>
      <c r="I33" s="88">
        <f>IF(H31&gt;0,I34+0.5,)</f>
        <v>0.5</v>
      </c>
      <c r="J33" s="4"/>
      <c r="K33" s="3"/>
      <c r="L33" s="3"/>
      <c r="M33" s="3"/>
      <c r="N33" s="581" t="s">
        <v>501</v>
      </c>
      <c r="O33" s="582" t="s">
        <v>142</v>
      </c>
      <c r="P33" s="581" t="s">
        <v>501</v>
      </c>
      <c r="Q33" s="582" t="s">
        <v>142</v>
      </c>
      <c r="R33" s="290"/>
      <c r="S33" s="5"/>
      <c r="T33" s="5"/>
      <c r="U33" s="5"/>
      <c r="V33" s="5"/>
      <c r="W33" s="293">
        <v>4.8</v>
      </c>
      <c r="X33" s="293">
        <v>7.7</v>
      </c>
      <c r="Y33" s="5"/>
      <c r="Z33" s="5"/>
      <c r="AA33" s="249"/>
      <c r="AC33" s="268" t="s">
        <v>100</v>
      </c>
      <c r="AD33" s="356">
        <f>(2*AD27*(SIN(AD42)-SIN(AD43))/AD9)^0.5</f>
        <v>0</v>
      </c>
      <c r="AE33" s="5"/>
      <c r="AF33" s="5">
        <v>8</v>
      </c>
      <c r="AG33" s="5"/>
      <c r="AH33" s="5"/>
      <c r="AI33" s="5"/>
      <c r="AJ33" s="5"/>
      <c r="AK33" s="266"/>
    </row>
    <row r="34" spans="1:37" ht="13.5" thickBot="1">
      <c r="A34" s="35" t="s">
        <v>247</v>
      </c>
      <c r="B34" s="436"/>
      <c r="C34" s="445">
        <f>B34*3.2808</f>
        <v>0</v>
      </c>
      <c r="D34" s="125"/>
      <c r="E34" s="127" t="s">
        <v>154</v>
      </c>
      <c r="F34" s="132">
        <f>IF(B33&gt;0,B34/B33,)</f>
        <v>0</v>
      </c>
      <c r="G34" s="372" t="s">
        <v>248</v>
      </c>
      <c r="H34" s="87">
        <f>IF(H31&gt;0,ROUNDUP(((($F$29/H31)/($G$33*N29))^(1/(O29+1)))*2,0)/2,)</f>
        <v>0</v>
      </c>
      <c r="I34" s="89">
        <f>ROUNDUP($H$34*$G$33*2,0)/2</f>
        <v>0</v>
      </c>
      <c r="J34" s="4"/>
      <c r="K34" s="3"/>
      <c r="L34" s="3"/>
      <c r="M34" s="3"/>
      <c r="N34" s="583">
        <f>O34/3.2808</f>
        <v>1.21921482565228</v>
      </c>
      <c r="O34" s="584">
        <v>4</v>
      </c>
      <c r="P34" s="583">
        <f>Q34/3.2808</f>
        <v>7.315288953913679</v>
      </c>
      <c r="Q34" s="584">
        <v>24</v>
      </c>
      <c r="R34" s="290"/>
      <c r="S34" s="5"/>
      <c r="T34" s="5"/>
      <c r="U34" s="5"/>
      <c r="V34" s="5"/>
      <c r="W34" s="293">
        <v>4.8</v>
      </c>
      <c r="X34" s="293">
        <v>6.8</v>
      </c>
      <c r="Y34" s="5"/>
      <c r="Z34" s="5"/>
      <c r="AA34" s="249"/>
      <c r="AC34" s="268" t="s">
        <v>101</v>
      </c>
      <c r="AD34" s="359">
        <v>1</v>
      </c>
      <c r="AE34" s="5"/>
      <c r="AF34" s="5"/>
      <c r="AG34" s="5"/>
      <c r="AH34" s="5"/>
      <c r="AI34" s="5"/>
      <c r="AJ34" s="5"/>
      <c r="AK34" s="266"/>
    </row>
    <row r="35" spans="1:37" ht="13.5" thickBot="1">
      <c r="A35" s="35" t="s">
        <v>249</v>
      </c>
      <c r="B35" s="437">
        <v>0.1</v>
      </c>
      <c r="C35" s="125"/>
      <c r="D35" s="125"/>
      <c r="E35" s="125"/>
      <c r="F35" s="133"/>
      <c r="G35" s="269" t="s">
        <v>250</v>
      </c>
      <c r="H35" s="370"/>
      <c r="I35" s="371"/>
      <c r="J35" s="4"/>
      <c r="K35" s="3"/>
      <c r="L35" s="3"/>
      <c r="M35" s="3"/>
      <c r="N35" s="583">
        <f aca="true" t="shared" si="3" ref="N35:N44">O35/3.2808</f>
        <v>1.8288222384784198</v>
      </c>
      <c r="O35" s="584">
        <v>6</v>
      </c>
      <c r="P35" s="583">
        <f aca="true" t="shared" si="4" ref="P35:P44">Q35/3.2808</f>
        <v>7.924896366739819</v>
      </c>
      <c r="Q35" s="584">
        <v>26</v>
      </c>
      <c r="R35" s="290"/>
      <c r="S35" s="5"/>
      <c r="T35" s="5"/>
      <c r="U35" s="5"/>
      <c r="V35" s="5"/>
      <c r="W35" s="293"/>
      <c r="X35" s="293"/>
      <c r="Y35" s="5"/>
      <c r="Z35" s="5"/>
      <c r="AA35" s="249"/>
      <c r="AB35" s="7"/>
      <c r="AC35" s="268" t="s">
        <v>105</v>
      </c>
      <c r="AD35" s="348"/>
      <c r="AE35" s="5"/>
      <c r="AF35" s="5"/>
      <c r="AG35" s="5"/>
      <c r="AH35" s="5"/>
      <c r="AI35" s="5"/>
      <c r="AJ35" s="5"/>
      <c r="AK35" s="266"/>
    </row>
    <row r="36" spans="1:37" ht="12.75">
      <c r="A36" s="35" t="s">
        <v>251</v>
      </c>
      <c r="B36" s="386"/>
      <c r="C36" s="125"/>
      <c r="D36" s="125"/>
      <c r="E36" s="125"/>
      <c r="F36" s="133"/>
      <c r="G36" s="5"/>
      <c r="H36" s="5"/>
      <c r="I36" s="5"/>
      <c r="J36" s="4"/>
      <c r="K36" s="3"/>
      <c r="L36" s="3"/>
      <c r="M36" s="3"/>
      <c r="N36" s="583">
        <f t="shared" si="3"/>
        <v>2.43842965130456</v>
      </c>
      <c r="O36" s="584">
        <v>8</v>
      </c>
      <c r="P36" s="583">
        <f t="shared" si="4"/>
        <v>8.53450377956596</v>
      </c>
      <c r="Q36" s="584">
        <v>28</v>
      </c>
      <c r="R36" s="291"/>
      <c r="S36" s="292"/>
      <c r="T36" s="292"/>
      <c r="U36" s="292"/>
      <c r="V36" s="292"/>
      <c r="W36" s="295"/>
      <c r="X36" s="295"/>
      <c r="Y36" s="292"/>
      <c r="Z36" s="292"/>
      <c r="AA36" s="256"/>
      <c r="AC36" s="268" t="s">
        <v>110</v>
      </c>
      <c r="AD36" s="348"/>
      <c r="AE36" s="5"/>
      <c r="AF36" s="5"/>
      <c r="AG36" s="5"/>
      <c r="AH36" s="5"/>
      <c r="AI36" s="5"/>
      <c r="AJ36" s="5"/>
      <c r="AK36" s="266"/>
    </row>
    <row r="37" spans="1:37" ht="12" customHeight="1">
      <c r="A37" s="35" t="s">
        <v>164</v>
      </c>
      <c r="B37" s="461">
        <v>0.75</v>
      </c>
      <c r="C37" s="129"/>
      <c r="D37" s="125"/>
      <c r="E37" s="125"/>
      <c r="F37" s="133"/>
      <c r="G37" s="110" t="s">
        <v>161</v>
      </c>
      <c r="J37" s="4"/>
      <c r="K37" s="3"/>
      <c r="L37" s="3"/>
      <c r="M37" s="3"/>
      <c r="N37" s="583">
        <f t="shared" si="3"/>
        <v>3.0480370641306997</v>
      </c>
      <c r="O37" s="584">
        <v>10</v>
      </c>
      <c r="P37" s="583">
        <f t="shared" si="4"/>
        <v>9.1441111923921</v>
      </c>
      <c r="Q37" s="584">
        <v>30</v>
      </c>
      <c r="AC37" s="268" t="s">
        <v>112</v>
      </c>
      <c r="AD37" s="348"/>
      <c r="AE37" s="5"/>
      <c r="AF37" s="5"/>
      <c r="AG37" s="5"/>
      <c r="AH37" s="5"/>
      <c r="AI37" s="5"/>
      <c r="AJ37" s="5"/>
      <c r="AK37" s="266"/>
    </row>
    <row r="38" spans="1:37" ht="12.75">
      <c r="A38" s="35" t="s">
        <v>252</v>
      </c>
      <c r="B38" s="125"/>
      <c r="C38" s="5"/>
      <c r="D38" s="125"/>
      <c r="E38" s="127" t="s">
        <v>163</v>
      </c>
      <c r="F38" s="136">
        <f>IF(B33&gt;0,42.3/F33^0.5,)</f>
        <v>0</v>
      </c>
      <c r="G38" s="13"/>
      <c r="H38" s="13"/>
      <c r="J38" s="4"/>
      <c r="K38" s="3"/>
      <c r="L38" s="3"/>
      <c r="M38" s="3"/>
      <c r="N38" s="583">
        <f t="shared" si="3"/>
        <v>3.6576444769568397</v>
      </c>
      <c r="O38" s="584">
        <v>12</v>
      </c>
      <c r="P38" s="583">
        <f t="shared" si="4"/>
        <v>9.75371860521824</v>
      </c>
      <c r="Q38" s="584">
        <v>32</v>
      </c>
      <c r="AC38" s="268" t="s">
        <v>114</v>
      </c>
      <c r="AD38" s="356">
        <f>(1-AD11)^0.4532</f>
        <v>1</v>
      </c>
      <c r="AE38" s="5"/>
      <c r="AF38" s="5">
        <v>11</v>
      </c>
      <c r="AG38" s="5"/>
      <c r="AH38" s="5"/>
      <c r="AI38" s="5"/>
      <c r="AJ38" s="5"/>
      <c r="AK38" s="266"/>
    </row>
    <row r="39" spans="1:37" ht="12.75">
      <c r="A39" s="34"/>
      <c r="B39" s="11"/>
      <c r="C39" s="137"/>
      <c r="D39" s="125"/>
      <c r="E39" s="127" t="s">
        <v>165</v>
      </c>
      <c r="F39" s="136">
        <f>F38*B37</f>
        <v>0</v>
      </c>
      <c r="G39" s="13"/>
      <c r="H39" s="13"/>
      <c r="J39" s="4"/>
      <c r="K39" s="3"/>
      <c r="L39" s="3"/>
      <c r="M39" s="3"/>
      <c r="N39" s="583">
        <f t="shared" si="3"/>
        <v>4.26725188978298</v>
      </c>
      <c r="O39" s="584">
        <v>14</v>
      </c>
      <c r="P39" s="583">
        <f t="shared" si="4"/>
        <v>10.36332601804438</v>
      </c>
      <c r="Q39" s="584">
        <v>34</v>
      </c>
      <c r="AC39" s="360" t="s">
        <v>115</v>
      </c>
      <c r="AD39" s="356" t="e">
        <f>AD32/(AD33+AD32)</f>
        <v>#DIV/0!</v>
      </c>
      <c r="AE39" s="5"/>
      <c r="AF39" s="5">
        <v>9</v>
      </c>
      <c r="AG39" s="5"/>
      <c r="AH39" s="5"/>
      <c r="AI39" s="5"/>
      <c r="AJ39" s="5"/>
      <c r="AK39" s="266"/>
    </row>
    <row r="40" spans="1:37" ht="12.75" customHeight="1">
      <c r="A40" s="35" t="s">
        <v>167</v>
      </c>
      <c r="B40" s="456"/>
      <c r="C40" s="125"/>
      <c r="D40" s="125"/>
      <c r="E40" s="125"/>
      <c r="F40" s="133"/>
      <c r="G40" s="13"/>
      <c r="H40" s="13"/>
      <c r="I40" s="4"/>
      <c r="J40" s="4"/>
      <c r="K40" s="3"/>
      <c r="N40" s="583">
        <f t="shared" si="3"/>
        <v>4.87685930260912</v>
      </c>
      <c r="O40" s="584">
        <v>16</v>
      </c>
      <c r="P40" s="583">
        <f t="shared" si="4"/>
        <v>10.972933430870519</v>
      </c>
      <c r="Q40" s="584">
        <v>36</v>
      </c>
      <c r="AC40" s="360" t="s">
        <v>117</v>
      </c>
      <c r="AD40" s="349">
        <f>$B$37</f>
        <v>0.75</v>
      </c>
      <c r="AE40" s="5" t="s">
        <v>118</v>
      </c>
      <c r="AF40" s="5"/>
      <c r="AG40" s="5"/>
      <c r="AH40" s="5"/>
      <c r="AI40" s="5"/>
      <c r="AJ40" s="5"/>
      <c r="AK40" s="266"/>
    </row>
    <row r="41" spans="1:37" ht="12.75">
      <c r="A41" s="35" t="s">
        <v>253</v>
      </c>
      <c r="B41" s="456"/>
      <c r="C41" s="129"/>
      <c r="D41" s="125"/>
      <c r="E41" s="134" t="s">
        <v>168</v>
      </c>
      <c r="F41" s="132">
        <f>IF(B9&gt;0,B9/((1-B40)*B9+B40),)</f>
        <v>0</v>
      </c>
      <c r="G41" s="13"/>
      <c r="H41" s="13"/>
      <c r="I41" s="4"/>
      <c r="J41" s="4"/>
      <c r="K41" s="3"/>
      <c r="N41" s="583">
        <f t="shared" si="3"/>
        <v>5.4864667154352595</v>
      </c>
      <c r="O41" s="584">
        <v>18</v>
      </c>
      <c r="P41" s="583">
        <f t="shared" si="4"/>
        <v>11.582540843696659</v>
      </c>
      <c r="Q41" s="584">
        <v>38</v>
      </c>
      <c r="AC41" s="360" t="s">
        <v>119</v>
      </c>
      <c r="AD41" s="356">
        <f>IF(AD40&gt;0.35*(3.364-AD11),AD40,0.35*(3.364-AD11))</f>
        <v>1.1773999999999998</v>
      </c>
      <c r="AE41" s="5"/>
      <c r="AF41" s="5">
        <v>2</v>
      </c>
      <c r="AG41" s="5"/>
      <c r="AH41" s="5"/>
      <c r="AI41" s="5"/>
      <c r="AJ41" s="5"/>
      <c r="AK41" s="266"/>
    </row>
    <row r="42" spans="1:37" ht="12.75">
      <c r="A42" s="35" t="s">
        <v>254</v>
      </c>
      <c r="B42" s="456"/>
      <c r="C42" s="129"/>
      <c r="D42" s="125"/>
      <c r="E42" s="125"/>
      <c r="F42" s="133"/>
      <c r="I42" s="4"/>
      <c r="J42" s="4"/>
      <c r="K42" s="3"/>
      <c r="N42" s="583">
        <f t="shared" si="3"/>
        <v>6.0960741282613995</v>
      </c>
      <c r="O42" s="584">
        <v>20</v>
      </c>
      <c r="P42" s="583">
        <f t="shared" si="4"/>
        <v>12.192148256522799</v>
      </c>
      <c r="Q42" s="584">
        <v>40</v>
      </c>
      <c r="AC42" s="360" t="s">
        <v>120</v>
      </c>
      <c r="AD42" s="356">
        <f>PI()/2-(AD43-PI()/2)*((0.3386+0.1041*AD40)+(1.54-2.5673*AD40)*AD11)</f>
        <v>0.22181974825503858</v>
      </c>
      <c r="AE42" s="5"/>
      <c r="AF42" s="5">
        <v>5</v>
      </c>
      <c r="AG42" s="5"/>
      <c r="AH42" s="5"/>
      <c r="AI42" s="5"/>
      <c r="AJ42" s="5"/>
      <c r="AK42" s="266"/>
    </row>
    <row r="43" spans="1:37" ht="12.75">
      <c r="A43" s="35" t="s">
        <v>255</v>
      </c>
      <c r="B43" s="431"/>
      <c r="C43" s="129"/>
      <c r="D43" s="5"/>
      <c r="E43" s="134" t="s">
        <v>172</v>
      </c>
      <c r="F43" s="132">
        <f>(PI()*(F33^2)*B34/4)*B42</f>
        <v>0</v>
      </c>
      <c r="G43" s="409" t="s">
        <v>256</v>
      </c>
      <c r="H43" s="410"/>
      <c r="I43" s="4"/>
      <c r="J43" s="4"/>
      <c r="K43" s="3"/>
      <c r="N43" s="583">
        <f t="shared" si="3"/>
        <v>6.705681541087539</v>
      </c>
      <c r="O43" s="584">
        <v>22</v>
      </c>
      <c r="P43" s="583">
        <f t="shared" si="4"/>
        <v>12.801755669348939</v>
      </c>
      <c r="Q43" s="584">
        <v>42</v>
      </c>
      <c r="AC43" s="360" t="s">
        <v>122</v>
      </c>
      <c r="AD43" s="356">
        <f>2.5307*(1.2796-AD11)*(1-EXP(-19.42*(AD41-AD40)))+PI()/2</f>
        <v>4.808275365709777</v>
      </c>
      <c r="AE43" s="5"/>
      <c r="AF43" s="5">
        <v>3</v>
      </c>
      <c r="AG43" s="5"/>
      <c r="AH43" s="5"/>
      <c r="AI43" s="5"/>
      <c r="AJ43" s="5"/>
      <c r="AK43" s="266"/>
    </row>
    <row r="44" spans="1:37" ht="13.5" thickBot="1">
      <c r="A44" s="34"/>
      <c r="B44" s="5"/>
      <c r="C44" s="5"/>
      <c r="D44" s="125"/>
      <c r="E44" s="287" t="s">
        <v>260</v>
      </c>
      <c r="F44" s="429">
        <v>4.6</v>
      </c>
      <c r="G44" s="411">
        <f>IF(B37&gt;0,25.4*(E13/N47)^0.5*(B9*B12/(B37*100)*(3.281*F33)^0.5)^0.34,)</f>
        <v>0</v>
      </c>
      <c r="H44" s="256"/>
      <c r="I44" s="4"/>
      <c r="J44" s="4"/>
      <c r="K44" s="3"/>
      <c r="N44" s="585">
        <f t="shared" si="3"/>
        <v>7.315288953913679</v>
      </c>
      <c r="O44" s="586">
        <v>24</v>
      </c>
      <c r="P44" s="585">
        <f t="shared" si="4"/>
        <v>13.411363082175079</v>
      </c>
      <c r="Q44" s="586">
        <v>44</v>
      </c>
      <c r="AC44" s="360" t="s">
        <v>123</v>
      </c>
      <c r="AD44" s="356">
        <f>IF($B$18=2,PI()+ASIN(AD26/AD28),AD43)</f>
        <v>4.808275365709777</v>
      </c>
      <c r="AE44" s="5"/>
      <c r="AF44" s="5">
        <v>4</v>
      </c>
      <c r="AG44" s="5"/>
      <c r="AH44" s="5"/>
      <c r="AI44" s="5"/>
      <c r="AJ44" s="5"/>
      <c r="AK44" s="266"/>
    </row>
    <row r="45" spans="1:37" ht="12.75">
      <c r="A45" s="34"/>
      <c r="B45" s="114" t="s">
        <v>261</v>
      </c>
      <c r="C45" s="174" t="s">
        <v>262</v>
      </c>
      <c r="D45" s="125"/>
      <c r="E45" s="134" t="s">
        <v>263</v>
      </c>
      <c r="F45" s="175">
        <f>F43*F44</f>
        <v>0</v>
      </c>
      <c r="G45" s="13"/>
      <c r="H45" s="13"/>
      <c r="J45" s="4"/>
      <c r="K45" s="3"/>
      <c r="AC45" s="360" t="s">
        <v>80</v>
      </c>
      <c r="AD45" s="356" t="e">
        <f>(AD11*AD46*(1-AD8+AD8*AD34*AD31)+AD10*(AD47-AD46)*(1-AD8)+AD11*AD8*AD34*(1-AD31))/AD11</f>
        <v>#DIV/0!</v>
      </c>
      <c r="AE45" s="5"/>
      <c r="AF45" s="5">
        <v>1</v>
      </c>
      <c r="AG45" s="5"/>
      <c r="AH45" s="5"/>
      <c r="AI45" s="5"/>
      <c r="AJ45" s="5"/>
      <c r="AK45" s="266"/>
    </row>
    <row r="46" spans="1:37" ht="12.75">
      <c r="A46" s="48" t="s">
        <v>264</v>
      </c>
      <c r="B46" s="108">
        <f>IF(B13&gt;0,0.159*(B13-0.015)^0.34,)</f>
        <v>0</v>
      </c>
      <c r="C46" s="176">
        <f>IF(B8&gt;0,B46*F50/B8,)</f>
        <v>0</v>
      </c>
      <c r="D46" s="125"/>
      <c r="E46" s="134" t="s">
        <v>265</v>
      </c>
      <c r="F46" s="132">
        <f>IF((B16*B18)&gt;0,IF(B18=1,IF(B16=2,1.08,1.16),1),)</f>
        <v>0</v>
      </c>
      <c r="J46" s="4"/>
      <c r="K46" s="3"/>
      <c r="N46" s="399" t="s">
        <v>257</v>
      </c>
      <c r="O46" s="312" t="s">
        <v>258</v>
      </c>
      <c r="P46" s="248" t="s">
        <v>259</v>
      </c>
      <c r="AC46" s="360" t="s">
        <v>128</v>
      </c>
      <c r="AD46" s="349">
        <f>AE32</f>
        <v>0</v>
      </c>
      <c r="AE46" s="5"/>
      <c r="AF46" s="5"/>
      <c r="AG46" s="5"/>
      <c r="AH46" s="5"/>
      <c r="AI46" s="5"/>
      <c r="AJ46" s="5"/>
      <c r="AK46" s="266"/>
    </row>
    <row r="47" spans="1:37" ht="12.75">
      <c r="A47" s="48" t="s">
        <v>266</v>
      </c>
      <c r="B47" s="108">
        <f>IF(B13&gt;0,0.0118*(B13-0.015)^0.3,)</f>
        <v>0</v>
      </c>
      <c r="C47" s="176">
        <f>IF(B8&gt;0,B47*F50/B8,)</f>
        <v>0</v>
      </c>
      <c r="D47" s="125"/>
      <c r="E47" s="127" t="s">
        <v>267</v>
      </c>
      <c r="F47" s="136">
        <f>F46*(4.879*F33^0.3*(3.2-3*B42)*B37*O47+P47)</f>
        <v>0</v>
      </c>
      <c r="K47" s="2"/>
      <c r="N47" s="252">
        <f>IF(B16=1,IF(B18=2,350,330),335)</f>
        <v>335</v>
      </c>
      <c r="O47" s="329">
        <f>(1-(0.9/(2^(9-B42*10))))</f>
        <v>0.9982421875</v>
      </c>
      <c r="P47" s="400">
        <f>1.102*((B43-12.5*F34)/50.8)</f>
        <v>0</v>
      </c>
      <c r="AC47" s="360" t="s">
        <v>130</v>
      </c>
      <c r="AD47" s="348">
        <v>7.84</v>
      </c>
      <c r="AE47" s="5"/>
      <c r="AF47" s="5"/>
      <c r="AG47" s="5"/>
      <c r="AH47" s="5"/>
      <c r="AI47" s="5"/>
      <c r="AJ47" s="5"/>
      <c r="AK47" s="266"/>
    </row>
    <row r="48" spans="1:37" ht="12.75">
      <c r="A48" s="34"/>
      <c r="B48" s="5"/>
      <c r="C48" s="177"/>
      <c r="D48" s="125"/>
      <c r="E48" s="125"/>
      <c r="F48" s="133"/>
      <c r="G48" s="13"/>
      <c r="K48" s="2"/>
      <c r="AC48" s="360" t="s">
        <v>132</v>
      </c>
      <c r="AD48" s="349">
        <f>$F$41</f>
        <v>0</v>
      </c>
      <c r="AE48" s="5"/>
      <c r="AF48" s="5"/>
      <c r="AG48" s="5"/>
      <c r="AH48" s="5"/>
      <c r="AI48" s="5"/>
      <c r="AJ48" s="5"/>
      <c r="AK48" s="266"/>
    </row>
    <row r="49" spans="1:37" ht="12.75">
      <c r="A49" s="48"/>
      <c r="B49" s="118"/>
      <c r="C49" s="177"/>
      <c r="D49" s="125"/>
      <c r="E49" s="125"/>
      <c r="F49" s="133"/>
      <c r="G49" s="399" t="s">
        <v>268</v>
      </c>
      <c r="H49" s="401" t="s">
        <v>2</v>
      </c>
      <c r="I49" s="254" t="s">
        <v>269</v>
      </c>
      <c r="J49" s="255" t="s">
        <v>270</v>
      </c>
      <c r="K49" s="2"/>
      <c r="AC49" s="360"/>
      <c r="AD49" s="5"/>
      <c r="AE49" s="5"/>
      <c r="AF49" s="5"/>
      <c r="AG49" s="5"/>
      <c r="AH49" s="5"/>
      <c r="AI49" s="5"/>
      <c r="AJ49" s="5"/>
      <c r="AK49" s="266"/>
    </row>
    <row r="50" spans="1:37" ht="20.25">
      <c r="A50" s="34"/>
      <c r="B50" s="5"/>
      <c r="C50" s="125"/>
      <c r="D50" s="162"/>
      <c r="E50" s="178" t="s">
        <v>181</v>
      </c>
      <c r="F50" s="179">
        <f>ROUNDUP(F45*F47,-1)</f>
        <v>0</v>
      </c>
      <c r="G50" s="402">
        <f>IF(B18=1,1000*F45*0.235*F33*F39/1200,1000*F45*0.255*F33*F39/1470)</f>
        <v>0</v>
      </c>
      <c r="H50" s="403">
        <f>IF(F33&gt;0,AD22,)</f>
        <v>0</v>
      </c>
      <c r="I50" s="403">
        <f>F60</f>
        <v>0</v>
      </c>
      <c r="J50" s="404">
        <f>2.4475*(3.4596*F33^2.4969)*(0.0003*(B37*100)^1.5094)*(-20*B42^2+20.2*B42+0.1947)*B34</f>
        <v>0</v>
      </c>
      <c r="K50" s="2"/>
      <c r="N50" s="393">
        <v>10</v>
      </c>
      <c r="O50" s="394">
        <v>0.41</v>
      </c>
      <c r="AC50" s="360"/>
      <c r="AD50" s="5"/>
      <c r="AE50" s="5"/>
      <c r="AF50" s="5"/>
      <c r="AG50" s="5"/>
      <c r="AH50" s="5"/>
      <c r="AI50" s="5"/>
      <c r="AJ50" s="5"/>
      <c r="AK50" s="266"/>
    </row>
    <row r="51" spans="1:37" ht="21" thickBot="1">
      <c r="A51" s="34"/>
      <c r="C51" s="125"/>
      <c r="D51" s="162"/>
      <c r="E51" s="163" t="s">
        <v>183</v>
      </c>
      <c r="F51" s="532">
        <f>ROUNDUP(J51,1)</f>
        <v>0</v>
      </c>
      <c r="G51" s="13"/>
      <c r="I51" s="211" t="s">
        <v>324</v>
      </c>
      <c r="J51" s="6">
        <f>IF(F50&gt;0,F29/F50,)</f>
        <v>0</v>
      </c>
      <c r="K51" s="2"/>
      <c r="N51" s="395">
        <v>15</v>
      </c>
      <c r="O51" s="396">
        <v>0.38</v>
      </c>
      <c r="AC51" s="366"/>
      <c r="AD51" s="26"/>
      <c r="AE51" s="26"/>
      <c r="AF51" s="26"/>
      <c r="AG51" s="26"/>
      <c r="AH51" s="26"/>
      <c r="AI51" s="26"/>
      <c r="AJ51" s="26"/>
      <c r="AK51" s="270"/>
    </row>
    <row r="52" spans="1:15" ht="12.75">
      <c r="A52" s="35"/>
      <c r="B52" s="6"/>
      <c r="C52" s="5"/>
      <c r="D52" s="5"/>
      <c r="E52" s="5"/>
      <c r="F52" s="58"/>
      <c r="G52" s="13"/>
      <c r="H52" s="8"/>
      <c r="I52" s="502" t="s">
        <v>185</v>
      </c>
      <c r="K52" s="2"/>
      <c r="N52" s="395">
        <v>20</v>
      </c>
      <c r="O52" s="396">
        <v>0.35</v>
      </c>
    </row>
    <row r="53" spans="1:15" ht="20.25">
      <c r="A53" s="35"/>
      <c r="B53" s="6"/>
      <c r="C53" s="125"/>
      <c r="D53" s="214"/>
      <c r="E53" s="286" t="s">
        <v>271</v>
      </c>
      <c r="F53" s="215">
        <f>F51*F50</f>
        <v>0</v>
      </c>
      <c r="G53" s="13"/>
      <c r="H53" s="8"/>
      <c r="K53" s="2"/>
      <c r="N53" s="395">
        <v>25</v>
      </c>
      <c r="O53" s="396">
        <v>0.33</v>
      </c>
    </row>
    <row r="54" spans="1:15" ht="13.5" thickBot="1">
      <c r="A54" s="34"/>
      <c r="B54" s="5"/>
      <c r="C54" s="5"/>
      <c r="D54" s="5"/>
      <c r="E54" s="5"/>
      <c r="F54" s="58"/>
      <c r="G54" s="13"/>
      <c r="H54" s="8"/>
      <c r="K54" s="2"/>
      <c r="N54" s="395">
        <v>35</v>
      </c>
      <c r="O54" s="396">
        <v>0.28</v>
      </c>
    </row>
    <row r="55" spans="1:15" ht="20.25">
      <c r="A55" s="247" t="s">
        <v>187</v>
      </c>
      <c r="B55" s="113"/>
      <c r="C55" s="183"/>
      <c r="D55" s="184"/>
      <c r="E55" s="185"/>
      <c r="F55" s="186"/>
      <c r="G55" s="5"/>
      <c r="H55" s="5"/>
      <c r="K55" s="1"/>
      <c r="N55" s="395">
        <v>40</v>
      </c>
      <c r="O55" s="396">
        <v>0.26</v>
      </c>
    </row>
    <row r="56" spans="1:15" ht="12.75">
      <c r="A56" s="34"/>
      <c r="B56" s="5"/>
      <c r="C56" s="187"/>
      <c r="D56" s="125"/>
      <c r="E56" s="188" t="s">
        <v>272</v>
      </c>
      <c r="F56" s="182">
        <f>F50</f>
        <v>0</v>
      </c>
      <c r="G56" s="5"/>
      <c r="N56" s="397">
        <v>50</v>
      </c>
      <c r="O56" s="398">
        <v>0.21</v>
      </c>
    </row>
    <row r="57" spans="1:11" ht="12.75">
      <c r="A57" s="48"/>
      <c r="B57" s="119"/>
      <c r="C57" s="187"/>
      <c r="D57" s="125"/>
      <c r="E57" s="189" t="s">
        <v>273</v>
      </c>
      <c r="F57" s="139">
        <f>IF(B33&gt;0,(B33-B35)^3*F50/(F33)^3-F56,)</f>
        <v>0</v>
      </c>
      <c r="G57" s="5"/>
      <c r="H57" s="5"/>
      <c r="K57" s="1"/>
    </row>
    <row r="58" spans="1:15" ht="12.75">
      <c r="A58" s="34"/>
      <c r="B58" s="5"/>
      <c r="C58" s="187"/>
      <c r="D58" s="125"/>
      <c r="E58" s="144" t="s">
        <v>192</v>
      </c>
      <c r="F58" s="190">
        <f>F56+F57</f>
        <v>0</v>
      </c>
      <c r="G58" s="5"/>
      <c r="I58" s="5"/>
      <c r="K58" s="1"/>
      <c r="N58" s="405">
        <f>IF(B18=1,7.3196,10.55)</f>
        <v>10.55</v>
      </c>
      <c r="O58" s="406">
        <f>IF(B18=1,2.6064,2.2014)</f>
        <v>2.2014</v>
      </c>
    </row>
    <row r="59" spans="1:11" ht="15.75">
      <c r="A59" s="101"/>
      <c r="B59" s="22"/>
      <c r="C59" s="187"/>
      <c r="D59" s="191"/>
      <c r="E59" s="144"/>
      <c r="F59" s="192"/>
      <c r="G59" s="8"/>
      <c r="I59" s="5"/>
      <c r="K59" s="1"/>
    </row>
    <row r="60" spans="1:11" ht="21" thickBot="1">
      <c r="A60" s="117"/>
      <c r="B60" s="122"/>
      <c r="C60" s="193"/>
      <c r="D60" s="194"/>
      <c r="E60" s="195" t="s">
        <v>460</v>
      </c>
      <c r="F60" s="196">
        <f>ROUNDUP(F58/0.97,-1)</f>
        <v>0</v>
      </c>
      <c r="G60" s="390">
        <f>N58*F33^O58*B34</f>
        <v>0</v>
      </c>
      <c r="H60" s="388" t="s">
        <v>193</v>
      </c>
      <c r="I60" s="407"/>
      <c r="J60" s="408"/>
      <c r="K60" s="1"/>
    </row>
    <row r="61" spans="3:11" ht="13.5" thickTop="1">
      <c r="C61" s="197"/>
      <c r="D61" s="197"/>
      <c r="E61" s="198"/>
      <c r="F61" s="197"/>
      <c r="H61" s="1"/>
      <c r="I61" s="1"/>
      <c r="J61" s="1"/>
      <c r="K61" s="1"/>
    </row>
    <row r="62" spans="3:11" ht="12.75">
      <c r="C62" s="197"/>
      <c r="D62" s="197"/>
      <c r="E62" s="198"/>
      <c r="F62" s="197"/>
      <c r="H62" s="1"/>
      <c r="I62" s="1"/>
      <c r="J62" s="1"/>
      <c r="K62" s="1"/>
    </row>
    <row r="63" spans="5:11" ht="12.75">
      <c r="E63" s="1"/>
      <c r="H63" s="1"/>
      <c r="I63" s="1"/>
      <c r="J63" s="1"/>
      <c r="K63" s="1"/>
    </row>
    <row r="64" spans="5:11" ht="12.75">
      <c r="E64" s="1"/>
      <c r="H64" s="1"/>
      <c r="I64" s="1"/>
      <c r="J64" s="1"/>
      <c r="K64" s="1"/>
    </row>
    <row r="65" spans="5:11" ht="12.75">
      <c r="E65" s="1"/>
      <c r="H65" s="1"/>
      <c r="I65" s="1"/>
      <c r="J65" s="1"/>
      <c r="K65" s="1"/>
    </row>
    <row r="66" spans="5:11" ht="12.75">
      <c r="E66" s="1"/>
      <c r="H66" s="1"/>
      <c r="I66" s="1"/>
      <c r="J66" s="1"/>
      <c r="K66" s="1"/>
    </row>
    <row r="67" spans="5:11" ht="12.75">
      <c r="E67" s="1"/>
      <c r="H67" s="1"/>
      <c r="I67" s="1"/>
      <c r="J67" s="1"/>
      <c r="K67" s="1"/>
    </row>
    <row r="68" spans="5:11" ht="12.75">
      <c r="E68" s="1"/>
      <c r="H68" s="1"/>
      <c r="I68" s="1"/>
      <c r="J68" s="1"/>
      <c r="K68" s="1"/>
    </row>
    <row r="69" spans="5:11" ht="12.75">
      <c r="E69" s="1"/>
      <c r="H69" s="1"/>
      <c r="I69" s="1"/>
      <c r="J69" s="1"/>
      <c r="K69" s="1"/>
    </row>
    <row r="70" spans="5:27" s="5" customFormat="1" ht="12.75">
      <c r="E70" s="7"/>
      <c r="H70" s="7"/>
      <c r="I70" s="7"/>
      <c r="J70" s="7"/>
      <c r="K70" s="7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5:11" ht="12.75">
      <c r="E71" s="1"/>
      <c r="H71" s="1"/>
      <c r="I71" s="1"/>
      <c r="J71" s="1"/>
      <c r="K71" s="1"/>
    </row>
    <row r="72" spans="5:11" ht="12.75">
      <c r="E72" s="1"/>
      <c r="H72" s="1"/>
      <c r="I72" s="1"/>
      <c r="J72" s="1"/>
      <c r="K72" s="1"/>
    </row>
    <row r="73" spans="5:11" ht="12.75">
      <c r="E73" s="1"/>
      <c r="H73" s="1"/>
      <c r="I73" s="1"/>
      <c r="J73" s="1"/>
      <c r="K73" s="1"/>
    </row>
    <row r="74" spans="5:11" ht="12.75">
      <c r="E74" s="1"/>
      <c r="H74" s="1"/>
      <c r="I74" s="1"/>
      <c r="J74" s="1"/>
      <c r="K74" s="1"/>
    </row>
    <row r="75" spans="5:11" ht="12.75">
      <c r="E75" s="1"/>
      <c r="H75" s="1"/>
      <c r="I75" s="1"/>
      <c r="J75" s="1"/>
      <c r="K75" s="1"/>
    </row>
    <row r="76" spans="5:11" ht="12.75">
      <c r="E76" s="1"/>
      <c r="H76" s="1"/>
      <c r="I76" s="1"/>
      <c r="J76" s="1"/>
      <c r="K76" s="1"/>
    </row>
    <row r="77" spans="5:11" ht="12.75">
      <c r="E77" s="1"/>
      <c r="H77" s="1"/>
      <c r="I77" s="1"/>
      <c r="J77" s="1"/>
      <c r="K77" s="1"/>
    </row>
    <row r="78" spans="1:11" ht="12.75">
      <c r="A78" s="8"/>
      <c r="B78" s="1"/>
      <c r="E78" s="1"/>
      <c r="H78" s="1"/>
      <c r="I78" s="1"/>
      <c r="J78" s="1"/>
      <c r="K78" s="1"/>
    </row>
    <row r="79" spans="1:11" ht="12.75">
      <c r="A79" s="15"/>
      <c r="B79" s="1"/>
      <c r="E79" s="1"/>
      <c r="H79" s="1"/>
      <c r="I79" s="1"/>
      <c r="J79" s="1"/>
      <c r="K79" s="1"/>
    </row>
    <row r="80" spans="1:11" ht="15.75">
      <c r="A80" s="16"/>
      <c r="B80" s="1"/>
      <c r="E80" s="1"/>
      <c r="H80" s="1"/>
      <c r="I80" s="1"/>
      <c r="J80" s="1"/>
      <c r="K80" s="1"/>
    </row>
    <row r="81" spans="1:11" ht="15.75">
      <c r="A81" s="16"/>
      <c r="B81" s="1"/>
      <c r="E81" s="1"/>
      <c r="H81" s="1"/>
      <c r="I81" s="1"/>
      <c r="J81" s="1"/>
      <c r="K81" s="1"/>
    </row>
    <row r="82" spans="1:11" ht="15.75">
      <c r="A82" s="16"/>
      <c r="B82" s="1"/>
      <c r="E82" s="1"/>
      <c r="H82" s="1"/>
      <c r="I82" s="1"/>
      <c r="J82" s="1"/>
      <c r="K82" s="1"/>
    </row>
    <row r="83" spans="1:11" ht="15.75">
      <c r="A83" s="16"/>
      <c r="B83" s="1"/>
      <c r="E83" s="1"/>
      <c r="H83" s="1"/>
      <c r="I83" s="1"/>
      <c r="J83" s="1"/>
      <c r="K83" s="1"/>
    </row>
    <row r="84" spans="1:11" ht="15.75">
      <c r="A84" s="16"/>
      <c r="B84" s="1"/>
      <c r="E84" s="1"/>
      <c r="H84" s="1"/>
      <c r="I84" s="1"/>
      <c r="J84" s="1"/>
      <c r="K84" s="1"/>
    </row>
    <row r="85" spans="1:11" ht="15.75">
      <c r="A85" s="16"/>
      <c r="B85" s="1"/>
      <c r="E85" s="1"/>
      <c r="H85" s="1"/>
      <c r="I85" s="1"/>
      <c r="J85" s="1"/>
      <c r="K85" s="1"/>
    </row>
    <row r="86" spans="1:11" ht="12.75">
      <c r="A86" s="7"/>
      <c r="B86" s="1"/>
      <c r="E86" s="1"/>
      <c r="H86" s="1"/>
      <c r="I86" s="1"/>
      <c r="J86" s="1"/>
      <c r="K86" s="1"/>
    </row>
    <row r="87" spans="1:11" ht="12.75">
      <c r="A87" s="7"/>
      <c r="B87" s="1"/>
      <c r="E87" s="1"/>
      <c r="H87" s="1"/>
      <c r="I87" s="1"/>
      <c r="J87" s="1"/>
      <c r="K87" s="1"/>
    </row>
    <row r="88" spans="1:11" ht="12.75">
      <c r="A88" s="7"/>
      <c r="B88" s="1"/>
      <c r="E88" s="1"/>
      <c r="H88" s="1"/>
      <c r="I88" s="1"/>
      <c r="J88" s="1"/>
      <c r="K88" s="1"/>
    </row>
    <row r="89" spans="1:11" ht="12.75">
      <c r="A89" s="7"/>
      <c r="B89" s="1"/>
      <c r="E89" s="1"/>
      <c r="F89" s="1"/>
      <c r="G89" s="1"/>
      <c r="H89" s="1"/>
      <c r="I89" s="1"/>
      <c r="J89" s="1"/>
      <c r="K89" s="1"/>
    </row>
    <row r="90" spans="1:11" ht="12.75">
      <c r="A90" s="7"/>
      <c r="B90" s="1"/>
      <c r="E90" s="1"/>
      <c r="F90" s="1"/>
      <c r="G90" s="1"/>
      <c r="H90" s="1"/>
      <c r="I90" s="1"/>
      <c r="J90" s="1"/>
      <c r="K90" s="1"/>
    </row>
    <row r="91" spans="1:11" ht="12.75">
      <c r="A91" s="7"/>
      <c r="B91" s="1"/>
      <c r="E91" s="1"/>
      <c r="F91" s="1"/>
      <c r="G91" s="1"/>
      <c r="H91" s="1"/>
      <c r="I91" s="1"/>
      <c r="J91" s="1"/>
      <c r="K91" s="1"/>
    </row>
    <row r="92" spans="1:11" ht="12.75">
      <c r="A92" s="7"/>
      <c r="B92" s="1"/>
      <c r="E92" s="1"/>
      <c r="F92" s="1"/>
      <c r="G92" s="1"/>
      <c r="H92" s="1"/>
      <c r="I92" s="1"/>
      <c r="J92" s="1"/>
      <c r="K92" s="1"/>
    </row>
    <row r="93" spans="1:11" ht="12.75">
      <c r="A93" s="7"/>
      <c r="B93" s="1"/>
      <c r="E93" s="1"/>
      <c r="F93" s="1"/>
      <c r="G93" s="1"/>
      <c r="H93" s="1"/>
      <c r="I93" s="1"/>
      <c r="J93" s="1"/>
      <c r="K93" s="1"/>
    </row>
    <row r="94" spans="1:11" ht="12.75">
      <c r="A94" s="7"/>
      <c r="B94" s="1"/>
      <c r="E94" s="1"/>
      <c r="F94" s="1"/>
      <c r="G94" s="1"/>
      <c r="H94" s="1"/>
      <c r="I94" s="1"/>
      <c r="J94" s="1"/>
      <c r="K94" s="1"/>
    </row>
    <row r="95" spans="1:11" ht="12.75">
      <c r="A95" s="7"/>
      <c r="B95" s="1"/>
      <c r="E95" s="1"/>
      <c r="F95" s="1"/>
      <c r="G95" s="1"/>
      <c r="H95" s="1"/>
      <c r="I95" s="1"/>
      <c r="J95" s="1"/>
      <c r="K95" s="1"/>
    </row>
    <row r="96" spans="1:11" ht="12.75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7:13" ht="12.75">
      <c r="G109" s="1"/>
      <c r="H109" s="1"/>
      <c r="I109" s="1"/>
      <c r="J109" s="1"/>
      <c r="K109" s="1"/>
      <c r="L109" s="1"/>
      <c r="M109" s="1"/>
    </row>
    <row r="110" spans="7:13" ht="12.75">
      <c r="G110" s="1"/>
      <c r="H110" s="1"/>
      <c r="I110" s="1"/>
      <c r="J110" s="1"/>
      <c r="K110" s="1"/>
      <c r="L110" s="1"/>
      <c r="M110" s="1"/>
    </row>
    <row r="111" spans="7:13" ht="12.75">
      <c r="G111" s="1"/>
      <c r="H111" s="1"/>
      <c r="I111" s="1"/>
      <c r="J111" s="1"/>
      <c r="K111" s="1"/>
      <c r="L111" s="1"/>
      <c r="M111" s="1"/>
    </row>
    <row r="112" spans="7:13" ht="12.75">
      <c r="G112" s="1"/>
      <c r="H112" s="1"/>
      <c r="I112" s="1"/>
      <c r="J112" s="1"/>
      <c r="K112" s="1"/>
      <c r="L112" s="1"/>
      <c r="M112" s="1"/>
    </row>
    <row r="113" spans="7:13" ht="12.75">
      <c r="G113" s="1"/>
      <c r="H113" s="1"/>
      <c r="I113" s="1"/>
      <c r="J113" s="1"/>
      <c r="K113" s="1"/>
      <c r="L113" s="1"/>
      <c r="M113" s="1"/>
    </row>
    <row r="114" spans="7:13" ht="12.75">
      <c r="G114" s="1"/>
      <c r="H114" s="1"/>
      <c r="I114" s="1"/>
      <c r="J114" s="1"/>
      <c r="K114" s="1"/>
      <c r="L114" s="1"/>
      <c r="M114" s="1"/>
    </row>
    <row r="115" spans="7:13" ht="12.75">
      <c r="G115" s="1"/>
      <c r="H115" s="1"/>
      <c r="I115" s="1"/>
      <c r="J115" s="1"/>
      <c r="K115" s="1"/>
      <c r="L115" s="1"/>
      <c r="M115" s="1"/>
    </row>
    <row r="121" ht="12.75">
      <c r="N121" s="216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1" fitToWidth="1" horizontalDpi="300" verticalDpi="300" orientation="portrait" paperSize="9" scale="77" r:id="rId1"/>
  <headerFooter alignWithMargins="0">
    <oddHeader xml:space="preserve">&amp;L&amp;"Arial,Bold Italic"&amp;14ProMet Engineers Pty Ltd&amp;C  </oddHeader>
    <oddFooter>&amp;L           &amp;A &amp;F &amp;D</oddFooter>
  </headerFooter>
  <rowBreaks count="1" manualBreakCount="1">
    <brk id="3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7"/>
  <sheetViews>
    <sheetView zoomScale="75" zoomScaleNormal="75" workbookViewId="0" topLeftCell="A1">
      <pane xSplit="1" ySplit="1" topLeftCell="B2" activePane="bottomRight" state="frozen"/>
      <selection pane="topLeft" activeCell="I4" sqref="I4"/>
      <selection pane="topRight" activeCell="I4" sqref="I4"/>
      <selection pane="bottomLeft" activeCell="I4" sqref="I4"/>
      <selection pane="bottomRight" activeCell="D70" sqref="D70"/>
    </sheetView>
  </sheetViews>
  <sheetFormatPr defaultColWidth="9.140625" defaultRowHeight="12.75"/>
  <cols>
    <col min="1" max="1" width="15.421875" style="0" customWidth="1"/>
    <col min="2" max="3" width="8.8515625" style="4" customWidth="1"/>
    <col min="4" max="4" width="8.8515625" style="218" customWidth="1"/>
    <col min="5" max="5" width="11.7109375" style="218" customWidth="1"/>
    <col min="6" max="6" width="11.421875" style="218" customWidth="1"/>
    <col min="7" max="8" width="10.7109375" style="218" customWidth="1"/>
    <col min="9" max="9" width="7.140625" style="218" hidden="1" customWidth="1"/>
    <col min="10" max="13" width="0" style="4" hidden="1" customWidth="1"/>
    <col min="14" max="17" width="0" style="218" hidden="1" customWidth="1"/>
    <col min="18" max="26" width="0" style="0" hidden="1" customWidth="1"/>
  </cols>
  <sheetData>
    <row r="1" spans="1:23" ht="12.75">
      <c r="A1" t="s">
        <v>274</v>
      </c>
      <c r="B1" s="4" t="s">
        <v>6</v>
      </c>
      <c r="C1" s="4" t="s">
        <v>40</v>
      </c>
      <c r="D1" s="218" t="s">
        <v>276</v>
      </c>
      <c r="E1" s="218" t="s">
        <v>1</v>
      </c>
      <c r="F1" s="230" t="s">
        <v>278</v>
      </c>
      <c r="G1" s="230" t="s">
        <v>279</v>
      </c>
      <c r="H1" t="s">
        <v>280</v>
      </c>
      <c r="I1" s="218" t="s">
        <v>282</v>
      </c>
      <c r="J1" s="4" t="s">
        <v>283</v>
      </c>
      <c r="K1" s="4" t="s">
        <v>269</v>
      </c>
      <c r="L1" s="4" t="s">
        <v>2</v>
      </c>
      <c r="M1" s="4" t="s">
        <v>327</v>
      </c>
      <c r="N1" s="218" t="s">
        <v>283</v>
      </c>
      <c r="O1" s="218" t="s">
        <v>269</v>
      </c>
      <c r="P1" s="218" t="s">
        <v>2</v>
      </c>
      <c r="Q1" s="218" t="s">
        <v>327</v>
      </c>
      <c r="R1" s="4"/>
      <c r="S1" s="4"/>
      <c r="T1" s="4"/>
      <c r="U1" s="4"/>
      <c r="V1" s="4"/>
      <c r="W1" s="230"/>
    </row>
    <row r="2" spans="1:19" ht="12.75">
      <c r="A2" t="s">
        <v>287</v>
      </c>
      <c r="B2" s="121">
        <v>1.5</v>
      </c>
      <c r="C2" s="121">
        <v>1.8</v>
      </c>
      <c r="D2" s="218">
        <v>46</v>
      </c>
      <c r="I2" s="218">
        <f aca="true" t="shared" si="0" ref="I2:I33">D2/C2</f>
        <v>25.555555555555554</v>
      </c>
      <c r="J2" s="4">
        <v>44</v>
      </c>
      <c r="K2" s="4">
        <v>52</v>
      </c>
      <c r="L2" s="4">
        <v>37</v>
      </c>
      <c r="M2" s="4">
        <v>32</v>
      </c>
      <c r="N2" s="218">
        <f aca="true" t="shared" si="1" ref="N2:Q21">J2/$C2</f>
        <v>24.444444444444443</v>
      </c>
      <c r="O2" s="218">
        <f t="shared" si="1"/>
        <v>28.88888888888889</v>
      </c>
      <c r="P2" s="218">
        <f t="shared" si="1"/>
        <v>20.555555555555554</v>
      </c>
      <c r="Q2" s="218">
        <f t="shared" si="1"/>
        <v>17.77777777777778</v>
      </c>
      <c r="R2">
        <f>J2/1.16</f>
        <v>37.931034482758626</v>
      </c>
      <c r="S2">
        <f>K2/1.16</f>
        <v>44.827586206896555</v>
      </c>
    </row>
    <row r="3" spans="1:19" ht="12.75">
      <c r="A3" t="s">
        <v>287</v>
      </c>
      <c r="B3" s="121">
        <v>1.5</v>
      </c>
      <c r="C3" s="121">
        <v>2.4</v>
      </c>
      <c r="D3" s="218">
        <v>62</v>
      </c>
      <c r="I3" s="218">
        <f t="shared" si="0"/>
        <v>25.833333333333336</v>
      </c>
      <c r="J3" s="218">
        <v>49.13793103448276</v>
      </c>
      <c r="K3" s="218">
        <v>59.48275862068966</v>
      </c>
      <c r="L3" s="4">
        <v>48</v>
      </c>
      <c r="M3" s="4">
        <v>43</v>
      </c>
      <c r="N3" s="218">
        <f t="shared" si="1"/>
        <v>20.474137931034484</v>
      </c>
      <c r="O3" s="218">
        <f t="shared" si="1"/>
        <v>24.78448275862069</v>
      </c>
      <c r="P3" s="218">
        <f t="shared" si="1"/>
        <v>20</v>
      </c>
      <c r="Q3" s="218">
        <f t="shared" si="1"/>
        <v>17.916666666666668</v>
      </c>
      <c r="R3" s="218">
        <v>49.13793103448276</v>
      </c>
      <c r="S3" s="218">
        <v>59.48275862068966</v>
      </c>
    </row>
    <row r="4" spans="1:19" ht="12.75">
      <c r="A4" t="s">
        <v>287</v>
      </c>
      <c r="B4" s="121">
        <v>1.5</v>
      </c>
      <c r="C4" s="121">
        <v>3</v>
      </c>
      <c r="D4" s="218">
        <v>79</v>
      </c>
      <c r="I4" s="218">
        <f t="shared" si="0"/>
        <v>26.333333333333332</v>
      </c>
      <c r="J4" s="218">
        <v>61.20689655172414</v>
      </c>
      <c r="K4" s="218">
        <v>73.27586206896552</v>
      </c>
      <c r="L4" s="4">
        <v>60</v>
      </c>
      <c r="M4" s="4">
        <v>53</v>
      </c>
      <c r="N4" s="218">
        <f t="shared" si="1"/>
        <v>20.402298850574713</v>
      </c>
      <c r="O4" s="218">
        <f t="shared" si="1"/>
        <v>24.425287356321842</v>
      </c>
      <c r="P4" s="218">
        <f t="shared" si="1"/>
        <v>20</v>
      </c>
      <c r="Q4" s="218">
        <f t="shared" si="1"/>
        <v>17.666666666666668</v>
      </c>
      <c r="R4" s="218">
        <v>61.20689655172414</v>
      </c>
      <c r="S4" s="218">
        <v>73.27586206896552</v>
      </c>
    </row>
    <row r="5" spans="1:19" ht="12.75">
      <c r="A5" t="s">
        <v>287</v>
      </c>
      <c r="B5" s="121">
        <v>1.8</v>
      </c>
      <c r="C5" s="121">
        <v>2.4</v>
      </c>
      <c r="D5" s="218">
        <v>93</v>
      </c>
      <c r="I5" s="218">
        <f t="shared" si="0"/>
        <v>38.75</v>
      </c>
      <c r="J5" s="218">
        <v>78.44827586206897</v>
      </c>
      <c r="K5" s="218">
        <v>91.37931034482759</v>
      </c>
      <c r="L5" s="4">
        <v>79</v>
      </c>
      <c r="M5" s="4">
        <v>70</v>
      </c>
      <c r="N5" s="218">
        <f t="shared" si="1"/>
        <v>32.68678160919541</v>
      </c>
      <c r="O5" s="218">
        <f t="shared" si="1"/>
        <v>38.07471264367816</v>
      </c>
      <c r="P5" s="218">
        <f t="shared" si="1"/>
        <v>32.91666666666667</v>
      </c>
      <c r="Q5" s="218">
        <f t="shared" si="1"/>
        <v>29.166666666666668</v>
      </c>
      <c r="R5" s="218">
        <v>78.44827586206897</v>
      </c>
      <c r="S5" s="218">
        <v>91.37931034482759</v>
      </c>
    </row>
    <row r="6" spans="1:19" ht="12.75">
      <c r="A6" t="s">
        <v>286</v>
      </c>
      <c r="B6" s="121">
        <v>1.83</v>
      </c>
      <c r="C6" s="121">
        <v>2.44</v>
      </c>
      <c r="D6" s="218">
        <v>110</v>
      </c>
      <c r="I6" s="218">
        <f t="shared" si="0"/>
        <v>45.08196721311476</v>
      </c>
      <c r="J6" s="218">
        <v>97.41379310344828</v>
      </c>
      <c r="K6" s="218">
        <v>113.79310344827587</v>
      </c>
      <c r="L6" s="4">
        <v>99</v>
      </c>
      <c r="M6" s="4">
        <v>88</v>
      </c>
      <c r="N6" s="218">
        <f t="shared" si="1"/>
        <v>39.92368569813454</v>
      </c>
      <c r="O6" s="218">
        <f t="shared" si="1"/>
        <v>46.63651780667044</v>
      </c>
      <c r="P6" s="218">
        <f t="shared" si="1"/>
        <v>40.57377049180328</v>
      </c>
      <c r="Q6" s="218">
        <f t="shared" si="1"/>
        <v>36.0655737704918</v>
      </c>
      <c r="R6" s="218">
        <v>97.41379310344828</v>
      </c>
      <c r="S6" s="218">
        <v>113.79310344827587</v>
      </c>
    </row>
    <row r="7" spans="1:19" ht="12.75">
      <c r="A7" t="s">
        <v>287</v>
      </c>
      <c r="B7" s="121">
        <v>1.8</v>
      </c>
      <c r="C7" s="121">
        <v>3</v>
      </c>
      <c r="D7" s="218">
        <v>116</v>
      </c>
      <c r="I7" s="218">
        <f t="shared" si="0"/>
        <v>38.666666666666664</v>
      </c>
      <c r="J7" s="218">
        <v>115.51724137931035</v>
      </c>
      <c r="K7" s="218">
        <v>134.48275862068965</v>
      </c>
      <c r="L7" s="4">
        <v>118</v>
      </c>
      <c r="M7" s="4">
        <v>105</v>
      </c>
      <c r="N7" s="218">
        <f t="shared" si="1"/>
        <v>38.50574712643678</v>
      </c>
      <c r="O7" s="218">
        <f t="shared" si="1"/>
        <v>44.82758620689655</v>
      </c>
      <c r="P7" s="218">
        <f t="shared" si="1"/>
        <v>39.333333333333336</v>
      </c>
      <c r="Q7" s="218">
        <f t="shared" si="1"/>
        <v>35</v>
      </c>
      <c r="R7" s="218">
        <v>115.51724137931035</v>
      </c>
      <c r="S7" s="218">
        <v>134.48275862068965</v>
      </c>
    </row>
    <row r="8" spans="1:19" ht="12.75">
      <c r="A8" t="s">
        <v>287</v>
      </c>
      <c r="B8" s="121">
        <v>2.1</v>
      </c>
      <c r="C8" s="121">
        <v>2.4</v>
      </c>
      <c r="D8" s="218">
        <v>132</v>
      </c>
      <c r="I8" s="218">
        <f t="shared" si="0"/>
        <v>55</v>
      </c>
      <c r="J8" s="218">
        <v>115.51724137931035</v>
      </c>
      <c r="K8" s="218">
        <v>131.89655172413794</v>
      </c>
      <c r="L8" s="4">
        <v>120</v>
      </c>
      <c r="M8" s="4">
        <v>107</v>
      </c>
      <c r="N8" s="218">
        <f t="shared" si="1"/>
        <v>48.13218390804598</v>
      </c>
      <c r="O8" s="218">
        <f t="shared" si="1"/>
        <v>54.95689655172414</v>
      </c>
      <c r="P8" s="218">
        <f t="shared" si="1"/>
        <v>50</v>
      </c>
      <c r="Q8" s="218">
        <f t="shared" si="1"/>
        <v>44.583333333333336</v>
      </c>
      <c r="R8" s="218">
        <v>115.51724137931035</v>
      </c>
      <c r="S8" s="218">
        <v>131.89655172413794</v>
      </c>
    </row>
    <row r="9" spans="1:19" ht="12.75">
      <c r="A9" t="s">
        <v>287</v>
      </c>
      <c r="B9" s="121">
        <v>1.8</v>
      </c>
      <c r="C9" s="121">
        <v>3.6</v>
      </c>
      <c r="D9" s="218">
        <v>139</v>
      </c>
      <c r="I9" s="218">
        <f t="shared" si="0"/>
        <v>38.61111111111111</v>
      </c>
      <c r="J9" s="218">
        <v>143.1034482758621</v>
      </c>
      <c r="K9" s="218">
        <v>163.79310344827587</v>
      </c>
      <c r="L9" s="4">
        <v>149</v>
      </c>
      <c r="M9" s="4">
        <v>133</v>
      </c>
      <c r="N9" s="218">
        <f t="shared" si="1"/>
        <v>39.75095785440614</v>
      </c>
      <c r="O9" s="218">
        <f t="shared" si="1"/>
        <v>45.498084291187745</v>
      </c>
      <c r="P9" s="218">
        <f t="shared" si="1"/>
        <v>41.388888888888886</v>
      </c>
      <c r="Q9" s="218">
        <f t="shared" si="1"/>
        <v>36.94444444444444</v>
      </c>
      <c r="R9" s="218">
        <v>143.1034482758621</v>
      </c>
      <c r="S9" s="218">
        <v>163.79310344827587</v>
      </c>
    </row>
    <row r="10" spans="1:19" ht="12.75">
      <c r="A10" t="s">
        <v>286</v>
      </c>
      <c r="B10" s="121">
        <v>1.83</v>
      </c>
      <c r="C10" s="121">
        <v>3.66</v>
      </c>
      <c r="D10" s="218">
        <v>150</v>
      </c>
      <c r="I10" s="218">
        <f t="shared" si="0"/>
        <v>40.983606557377044</v>
      </c>
      <c r="J10" s="218">
        <v>170.6896551724138</v>
      </c>
      <c r="K10" s="218">
        <v>194.82758620689657</v>
      </c>
      <c r="L10" s="4">
        <v>178</v>
      </c>
      <c r="M10" s="4">
        <v>160</v>
      </c>
      <c r="N10" s="218">
        <f t="shared" si="1"/>
        <v>46.63651780667044</v>
      </c>
      <c r="O10" s="218">
        <f t="shared" si="1"/>
        <v>53.23158093084606</v>
      </c>
      <c r="P10" s="218">
        <f t="shared" si="1"/>
        <v>48.63387978142077</v>
      </c>
      <c r="Q10" s="218">
        <f t="shared" si="1"/>
        <v>43.71584699453552</v>
      </c>
      <c r="R10" s="218">
        <v>170.6896551724138</v>
      </c>
      <c r="S10" s="218">
        <v>194.82758620689657</v>
      </c>
    </row>
    <row r="11" spans="1:19" ht="12.75">
      <c r="A11" t="s">
        <v>286</v>
      </c>
      <c r="B11" s="121">
        <v>1.99</v>
      </c>
      <c r="C11" s="121">
        <v>2.44</v>
      </c>
      <c r="D11" s="218">
        <v>150</v>
      </c>
      <c r="I11" s="218">
        <f t="shared" si="0"/>
        <v>61.47540983606557</v>
      </c>
      <c r="J11" s="218">
        <v>200</v>
      </c>
      <c r="K11" s="218">
        <v>225</v>
      </c>
      <c r="L11" s="4">
        <v>212</v>
      </c>
      <c r="M11" s="4">
        <v>191</v>
      </c>
      <c r="N11" s="218">
        <f t="shared" si="1"/>
        <v>81.9672131147541</v>
      </c>
      <c r="O11" s="218">
        <f t="shared" si="1"/>
        <v>92.21311475409836</v>
      </c>
      <c r="P11" s="218">
        <f t="shared" si="1"/>
        <v>86.88524590163935</v>
      </c>
      <c r="Q11" s="218">
        <f t="shared" si="1"/>
        <v>78.27868852459017</v>
      </c>
      <c r="R11" s="218">
        <v>200</v>
      </c>
      <c r="S11" s="218">
        <v>225</v>
      </c>
    </row>
    <row r="12" spans="1:19" ht="12.75">
      <c r="A12" t="s">
        <v>287</v>
      </c>
      <c r="B12" s="121">
        <v>2.1</v>
      </c>
      <c r="C12" s="121">
        <v>3</v>
      </c>
      <c r="D12" s="218">
        <v>165</v>
      </c>
      <c r="I12" s="218">
        <f t="shared" si="0"/>
        <v>55</v>
      </c>
      <c r="J12" s="218">
        <v>237.93103448275863</v>
      </c>
      <c r="K12" s="218">
        <v>268.1034482758621</v>
      </c>
      <c r="L12" s="4">
        <v>254</v>
      </c>
      <c r="M12" s="4">
        <v>229</v>
      </c>
      <c r="N12" s="218">
        <f t="shared" si="1"/>
        <v>79.3103448275862</v>
      </c>
      <c r="O12" s="218">
        <f t="shared" si="1"/>
        <v>89.36781609195403</v>
      </c>
      <c r="P12" s="218">
        <f t="shared" si="1"/>
        <v>84.66666666666667</v>
      </c>
      <c r="Q12" s="218">
        <f t="shared" si="1"/>
        <v>76.33333333333333</v>
      </c>
      <c r="R12" s="218">
        <v>237.93103448275863</v>
      </c>
      <c r="S12" s="218">
        <v>268.1034482758621</v>
      </c>
    </row>
    <row r="13" spans="1:19" ht="12.75">
      <c r="A13" t="s">
        <v>287</v>
      </c>
      <c r="B13" s="121">
        <v>2.1</v>
      </c>
      <c r="C13" s="121">
        <v>3.6</v>
      </c>
      <c r="D13" s="218">
        <v>199</v>
      </c>
      <c r="I13" s="218">
        <f t="shared" si="0"/>
        <v>55.27777777777778</v>
      </c>
      <c r="J13" s="218">
        <v>275.86206896551727</v>
      </c>
      <c r="K13" s="218">
        <v>310.3448275862069</v>
      </c>
      <c r="L13" s="4">
        <v>295</v>
      </c>
      <c r="M13" s="4">
        <v>267</v>
      </c>
      <c r="N13" s="218">
        <f t="shared" si="1"/>
        <v>76.62835249042146</v>
      </c>
      <c r="O13" s="218">
        <f t="shared" si="1"/>
        <v>86.20689655172414</v>
      </c>
      <c r="P13" s="218">
        <f t="shared" si="1"/>
        <v>81.94444444444444</v>
      </c>
      <c r="Q13" s="218">
        <f t="shared" si="1"/>
        <v>74.16666666666667</v>
      </c>
      <c r="R13" s="218">
        <v>275.86206896551727</v>
      </c>
      <c r="S13" s="218">
        <v>310.3448275862069</v>
      </c>
    </row>
    <row r="14" spans="1:19" ht="12.75">
      <c r="A14" t="s">
        <v>286</v>
      </c>
      <c r="B14" s="121">
        <v>1.99</v>
      </c>
      <c r="C14" s="121">
        <v>3.66</v>
      </c>
      <c r="D14" s="218">
        <v>200</v>
      </c>
      <c r="I14" s="218">
        <f t="shared" si="0"/>
        <v>54.6448087431694</v>
      </c>
      <c r="J14" s="218">
        <v>267.2413793103448</v>
      </c>
      <c r="K14" s="218">
        <v>297.4137931034483</v>
      </c>
      <c r="L14" s="4">
        <v>289</v>
      </c>
      <c r="M14" s="4">
        <v>261</v>
      </c>
      <c r="N14" s="218">
        <f t="shared" si="1"/>
        <v>73.0167703033729</v>
      </c>
      <c r="O14" s="218">
        <f t="shared" si="1"/>
        <v>81.26059920859244</v>
      </c>
      <c r="P14" s="218">
        <f t="shared" si="1"/>
        <v>78.96174863387978</v>
      </c>
      <c r="Q14" s="218">
        <f t="shared" si="1"/>
        <v>71.31147540983606</v>
      </c>
      <c r="R14" s="218">
        <v>267.2413793103448</v>
      </c>
      <c r="S14" s="218">
        <v>297.4137931034483</v>
      </c>
    </row>
    <row r="15" spans="1:19" ht="12.75">
      <c r="A15" t="s">
        <v>286</v>
      </c>
      <c r="B15" s="121">
        <v>2.14</v>
      </c>
      <c r="C15" s="121">
        <v>3.05</v>
      </c>
      <c r="D15" s="218">
        <v>200</v>
      </c>
      <c r="I15" s="218">
        <f t="shared" si="0"/>
        <v>65.57377049180329</v>
      </c>
      <c r="J15" s="218">
        <v>318.1034482758621</v>
      </c>
      <c r="K15" s="218">
        <v>354.3103448275862</v>
      </c>
      <c r="L15" s="4">
        <v>346</v>
      </c>
      <c r="M15" s="4">
        <v>313</v>
      </c>
      <c r="N15" s="218">
        <f t="shared" si="1"/>
        <v>104.296212549463</v>
      </c>
      <c r="O15" s="218">
        <f t="shared" si="1"/>
        <v>116.1673261729791</v>
      </c>
      <c r="P15" s="218">
        <f t="shared" si="1"/>
        <v>113.44262295081968</v>
      </c>
      <c r="Q15" s="218">
        <f t="shared" si="1"/>
        <v>102.62295081967214</v>
      </c>
      <c r="R15" s="218">
        <v>318.1034482758621</v>
      </c>
      <c r="S15" s="218">
        <v>354.3103448275862</v>
      </c>
    </row>
    <row r="16" spans="1:19" ht="12.75">
      <c r="A16" t="s">
        <v>286</v>
      </c>
      <c r="B16" s="121">
        <v>2.29</v>
      </c>
      <c r="C16" s="121">
        <v>3.05</v>
      </c>
      <c r="D16" s="218">
        <v>200</v>
      </c>
      <c r="I16" s="218">
        <f t="shared" si="0"/>
        <v>65.57377049180329</v>
      </c>
      <c r="J16" s="218">
        <v>368.96551724137936</v>
      </c>
      <c r="K16" s="218">
        <v>410.3448275862069</v>
      </c>
      <c r="L16" s="4">
        <v>402</v>
      </c>
      <c r="M16" s="4">
        <v>365</v>
      </c>
      <c r="N16" s="218">
        <f t="shared" si="1"/>
        <v>120.97230073487849</v>
      </c>
      <c r="O16" s="218">
        <f t="shared" si="1"/>
        <v>134.5392877331826</v>
      </c>
      <c r="P16" s="218">
        <f t="shared" si="1"/>
        <v>131.80327868852459</v>
      </c>
      <c r="Q16" s="218">
        <f t="shared" si="1"/>
        <v>119.672131147541</v>
      </c>
      <c r="R16" s="218">
        <v>368.96551724137936</v>
      </c>
      <c r="S16" s="218">
        <v>410.3448275862069</v>
      </c>
    </row>
    <row r="17" spans="1:19" ht="12.75">
      <c r="A17" t="s">
        <v>323</v>
      </c>
      <c r="B17" s="121">
        <v>2.4</v>
      </c>
      <c r="C17" s="121">
        <v>3.6</v>
      </c>
      <c r="D17" s="218">
        <v>215</v>
      </c>
      <c r="I17" s="218">
        <f t="shared" si="0"/>
        <v>59.72222222222222</v>
      </c>
      <c r="J17" s="218">
        <v>347.4137931034483</v>
      </c>
      <c r="K17" s="218">
        <v>386.2068965517242</v>
      </c>
      <c r="L17" s="4">
        <v>380</v>
      </c>
      <c r="M17" s="4">
        <v>345</v>
      </c>
      <c r="N17" s="218">
        <f t="shared" si="1"/>
        <v>96.50383141762453</v>
      </c>
      <c r="O17" s="218">
        <f t="shared" si="1"/>
        <v>107.27969348659005</v>
      </c>
      <c r="P17" s="218">
        <f t="shared" si="1"/>
        <v>105.55555555555556</v>
      </c>
      <c r="Q17" s="218">
        <f t="shared" si="1"/>
        <v>95.83333333333333</v>
      </c>
      <c r="R17" s="218">
        <v>347.4137931034483</v>
      </c>
      <c r="S17" s="218">
        <v>386.2068965517242</v>
      </c>
    </row>
    <row r="18" spans="1:19" ht="12.75">
      <c r="A18" t="s">
        <v>287</v>
      </c>
      <c r="B18" s="121">
        <v>2.4</v>
      </c>
      <c r="C18" s="121">
        <v>3</v>
      </c>
      <c r="D18" s="218">
        <v>218</v>
      </c>
      <c r="I18" s="218">
        <f t="shared" si="0"/>
        <v>72.66666666666667</v>
      </c>
      <c r="J18" s="218">
        <v>403.448275862069</v>
      </c>
      <c r="K18" s="218">
        <v>447.4137931034483</v>
      </c>
      <c r="L18" s="4">
        <v>443</v>
      </c>
      <c r="M18" s="4">
        <v>402</v>
      </c>
      <c r="N18" s="218">
        <f t="shared" si="1"/>
        <v>134.48275862068968</v>
      </c>
      <c r="O18" s="218">
        <f t="shared" si="1"/>
        <v>149.13793103448276</v>
      </c>
      <c r="P18" s="218">
        <f t="shared" si="1"/>
        <v>147.66666666666666</v>
      </c>
      <c r="Q18" s="218">
        <f t="shared" si="1"/>
        <v>134</v>
      </c>
      <c r="R18" s="218">
        <v>403.448275862069</v>
      </c>
      <c r="S18" s="218">
        <v>447.4137931034483</v>
      </c>
    </row>
    <row r="19" spans="1:19" ht="12.75">
      <c r="A19" t="s">
        <v>286</v>
      </c>
      <c r="B19" s="121">
        <v>2.14</v>
      </c>
      <c r="C19" s="121">
        <v>4.27</v>
      </c>
      <c r="D19" s="218">
        <v>250</v>
      </c>
      <c r="I19" s="218">
        <f t="shared" si="0"/>
        <v>58.5480093676815</v>
      </c>
      <c r="J19" s="218">
        <v>457.75862068965523</v>
      </c>
      <c r="K19" s="218">
        <v>508.62068965517244</v>
      </c>
      <c r="L19" s="4">
        <v>505</v>
      </c>
      <c r="M19" s="4">
        <v>460</v>
      </c>
      <c r="N19" s="218">
        <f t="shared" si="1"/>
        <v>107.2034240490996</v>
      </c>
      <c r="O19" s="218">
        <f t="shared" si="1"/>
        <v>119.11491561011066</v>
      </c>
      <c r="P19" s="218">
        <f t="shared" si="1"/>
        <v>118.26697892271665</v>
      </c>
      <c r="Q19" s="218">
        <f t="shared" si="1"/>
        <v>107.72833723653397</v>
      </c>
      <c r="R19" s="218">
        <v>457.75862068965523</v>
      </c>
      <c r="S19" s="218">
        <v>508.62068965517244</v>
      </c>
    </row>
    <row r="20" spans="1:19" ht="12.75">
      <c r="A20" t="s">
        <v>286</v>
      </c>
      <c r="B20" s="121">
        <v>2.44</v>
      </c>
      <c r="C20" s="121">
        <v>3.36</v>
      </c>
      <c r="D20" s="218">
        <v>250</v>
      </c>
      <c r="I20" s="218">
        <f t="shared" si="0"/>
        <v>74.40476190476191</v>
      </c>
      <c r="J20" s="218">
        <v>411.2068965517242</v>
      </c>
      <c r="K20" s="218">
        <v>454.3103448275862</v>
      </c>
      <c r="L20" s="4">
        <v>455</v>
      </c>
      <c r="M20" s="4">
        <v>414</v>
      </c>
      <c r="N20" s="218">
        <f t="shared" si="1"/>
        <v>122.3830049261084</v>
      </c>
      <c r="O20" s="218">
        <f t="shared" si="1"/>
        <v>135.21141215106732</v>
      </c>
      <c r="P20" s="218">
        <f t="shared" si="1"/>
        <v>135.41666666666669</v>
      </c>
      <c r="Q20" s="218">
        <f t="shared" si="1"/>
        <v>123.21428571428572</v>
      </c>
      <c r="R20" s="218">
        <v>411.2068965517242</v>
      </c>
      <c r="S20" s="218">
        <v>454.3103448275862</v>
      </c>
    </row>
    <row r="21" spans="1:19" ht="12.75">
      <c r="A21" t="s">
        <v>287</v>
      </c>
      <c r="B21" s="121">
        <v>2.4</v>
      </c>
      <c r="C21" s="121">
        <v>3.6</v>
      </c>
      <c r="D21" s="218">
        <v>261</v>
      </c>
      <c r="I21" s="218">
        <f t="shared" si="0"/>
        <v>72.5</v>
      </c>
      <c r="J21" s="218">
        <v>477.58620689655174</v>
      </c>
      <c r="K21" s="218">
        <v>526.7241379310345</v>
      </c>
      <c r="L21" s="4">
        <v>530</v>
      </c>
      <c r="M21" s="4">
        <v>483</v>
      </c>
      <c r="N21" s="218">
        <f t="shared" si="1"/>
        <v>132.66283524904216</v>
      </c>
      <c r="O21" s="218">
        <f t="shared" si="1"/>
        <v>146.31226053639847</v>
      </c>
      <c r="P21" s="218">
        <f t="shared" si="1"/>
        <v>147.22222222222223</v>
      </c>
      <c r="Q21" s="218">
        <f t="shared" si="1"/>
        <v>134.16666666666666</v>
      </c>
      <c r="R21" s="218">
        <v>477.58620689655174</v>
      </c>
      <c r="S21" s="218">
        <v>526.7241379310345</v>
      </c>
    </row>
    <row r="22" spans="1:19" ht="12.75">
      <c r="A22" t="s">
        <v>287</v>
      </c>
      <c r="B22" s="121">
        <v>2.7</v>
      </c>
      <c r="C22" s="121">
        <v>3</v>
      </c>
      <c r="D22" s="218">
        <v>287</v>
      </c>
      <c r="I22" s="218">
        <f t="shared" si="0"/>
        <v>95.66666666666667</v>
      </c>
      <c r="J22" s="218">
        <v>542.2413793103449</v>
      </c>
      <c r="K22" s="218">
        <v>598.2758620689656</v>
      </c>
      <c r="L22" s="4">
        <v>604</v>
      </c>
      <c r="M22" s="4">
        <v>552</v>
      </c>
      <c r="N22" s="218">
        <f aca="true" t="shared" si="2" ref="N22:Q41">J22/$C22</f>
        <v>180.74712643678163</v>
      </c>
      <c r="O22" s="218">
        <f t="shared" si="2"/>
        <v>199.42528735632186</v>
      </c>
      <c r="P22" s="218">
        <f t="shared" si="2"/>
        <v>201.33333333333334</v>
      </c>
      <c r="Q22" s="218">
        <f t="shared" si="2"/>
        <v>184</v>
      </c>
      <c r="R22" s="218">
        <v>542.2413793103449</v>
      </c>
      <c r="S22" s="218">
        <v>598.2758620689656</v>
      </c>
    </row>
    <row r="23" spans="1:19" ht="12.75">
      <c r="A23" t="s">
        <v>290</v>
      </c>
      <c r="B23" s="121">
        <v>3.048</v>
      </c>
      <c r="C23" s="121">
        <v>2.77368</v>
      </c>
      <c r="D23" s="218">
        <v>294.67</v>
      </c>
      <c r="I23" s="218">
        <f t="shared" si="0"/>
        <v>106.23792218280407</v>
      </c>
      <c r="J23" s="218">
        <v>481.0344827586207</v>
      </c>
      <c r="K23" s="218">
        <v>528.448275862069</v>
      </c>
      <c r="L23" s="4">
        <v>538</v>
      </c>
      <c r="M23" s="4">
        <v>490</v>
      </c>
      <c r="N23" s="218">
        <f t="shared" si="2"/>
        <v>173.42825515510825</v>
      </c>
      <c r="O23" s="218">
        <f t="shared" si="2"/>
        <v>190.5224380108985</v>
      </c>
      <c r="P23" s="218">
        <f t="shared" si="2"/>
        <v>193.9661388480286</v>
      </c>
      <c r="Q23" s="218">
        <f t="shared" si="2"/>
        <v>176.66060973147586</v>
      </c>
      <c r="R23" s="218">
        <v>481.0344827586207</v>
      </c>
      <c r="S23" s="218">
        <v>528.448275862069</v>
      </c>
    </row>
    <row r="24" spans="1:19" ht="12.75">
      <c r="A24" t="s">
        <v>323</v>
      </c>
      <c r="B24" s="121">
        <v>2.7</v>
      </c>
      <c r="C24" s="121">
        <v>3.6</v>
      </c>
      <c r="D24" s="218">
        <v>295</v>
      </c>
      <c r="I24" s="218">
        <f t="shared" si="0"/>
        <v>81.94444444444444</v>
      </c>
      <c r="J24" s="218">
        <v>558.6206896551724</v>
      </c>
      <c r="K24" s="218">
        <v>612.9310344827587</v>
      </c>
      <c r="L24" s="4">
        <v>626</v>
      </c>
      <c r="M24" s="4">
        <v>572</v>
      </c>
      <c r="N24" s="218">
        <f t="shared" si="2"/>
        <v>155.17241379310346</v>
      </c>
      <c r="O24" s="218">
        <f t="shared" si="2"/>
        <v>170.2586206896552</v>
      </c>
      <c r="P24" s="218">
        <f t="shared" si="2"/>
        <v>173.88888888888889</v>
      </c>
      <c r="Q24" s="218">
        <f t="shared" si="2"/>
        <v>158.88888888888889</v>
      </c>
      <c r="R24" s="218">
        <v>558.6206896551724</v>
      </c>
      <c r="S24" s="218">
        <v>612.9310344827587</v>
      </c>
    </row>
    <row r="25" spans="1:19" ht="12.75">
      <c r="A25" t="s">
        <v>286</v>
      </c>
      <c r="B25" s="121">
        <v>2.29</v>
      </c>
      <c r="C25" s="121">
        <v>4.27</v>
      </c>
      <c r="D25" s="218">
        <v>300</v>
      </c>
      <c r="I25" s="218">
        <f t="shared" si="0"/>
        <v>70.2576112412178</v>
      </c>
      <c r="J25" s="218">
        <v>635.344827586207</v>
      </c>
      <c r="K25" s="218">
        <v>697.4137931034484</v>
      </c>
      <c r="L25" s="4">
        <v>715</v>
      </c>
      <c r="M25" s="4">
        <v>653</v>
      </c>
      <c r="N25" s="218">
        <f t="shared" si="2"/>
        <v>148.79269966890095</v>
      </c>
      <c r="O25" s="218">
        <f t="shared" si="2"/>
        <v>163.32875716708395</v>
      </c>
      <c r="P25" s="218">
        <f t="shared" si="2"/>
        <v>167.4473067915691</v>
      </c>
      <c r="Q25" s="218">
        <f t="shared" si="2"/>
        <v>152.9274004683841</v>
      </c>
      <c r="R25" s="218">
        <v>635.344827586207</v>
      </c>
      <c r="S25" s="218">
        <v>697.4137931034484</v>
      </c>
    </row>
    <row r="26" spans="1:19" ht="12.75">
      <c r="A26" t="s">
        <v>286</v>
      </c>
      <c r="B26" s="121">
        <v>2.59</v>
      </c>
      <c r="C26" s="121">
        <v>3.36</v>
      </c>
      <c r="D26" s="218">
        <v>300</v>
      </c>
      <c r="I26" s="218">
        <f t="shared" si="0"/>
        <v>89.28571428571429</v>
      </c>
      <c r="J26" s="218">
        <v>601.7241379310345</v>
      </c>
      <c r="K26" s="218">
        <v>659.4827586206897</v>
      </c>
      <c r="L26" s="4">
        <v>678</v>
      </c>
      <c r="M26" s="4">
        <v>620</v>
      </c>
      <c r="N26" s="218">
        <f t="shared" si="2"/>
        <v>179.08456486042695</v>
      </c>
      <c r="O26" s="218">
        <f t="shared" si="2"/>
        <v>196.27463054187191</v>
      </c>
      <c r="P26" s="218">
        <f t="shared" si="2"/>
        <v>201.7857142857143</v>
      </c>
      <c r="Q26" s="218">
        <f t="shared" si="2"/>
        <v>184.52380952380952</v>
      </c>
      <c r="R26" s="218">
        <v>601.7241379310345</v>
      </c>
      <c r="S26" s="218">
        <v>659.4827586206897</v>
      </c>
    </row>
    <row r="27" spans="1:19" ht="12.75">
      <c r="A27" t="s">
        <v>287</v>
      </c>
      <c r="B27" s="121">
        <v>2.4</v>
      </c>
      <c r="C27" s="121">
        <v>4.2</v>
      </c>
      <c r="D27" s="218">
        <v>304</v>
      </c>
      <c r="I27" s="218">
        <f t="shared" si="0"/>
        <v>72.38095238095238</v>
      </c>
      <c r="J27" s="218">
        <v>684.4827586206897</v>
      </c>
      <c r="K27" s="218">
        <v>750</v>
      </c>
      <c r="L27" s="4">
        <v>774</v>
      </c>
      <c r="M27" s="4">
        <v>708</v>
      </c>
      <c r="N27" s="218">
        <f t="shared" si="2"/>
        <v>162.97208538587847</v>
      </c>
      <c r="O27" s="218">
        <f t="shared" si="2"/>
        <v>178.57142857142856</v>
      </c>
      <c r="P27" s="218">
        <f t="shared" si="2"/>
        <v>184.28571428571428</v>
      </c>
      <c r="Q27" s="218">
        <f t="shared" si="2"/>
        <v>168.57142857142856</v>
      </c>
      <c r="R27" s="218">
        <v>684.4827586206897</v>
      </c>
      <c r="S27" s="218">
        <v>750</v>
      </c>
    </row>
    <row r="28" spans="1:19" ht="12.75">
      <c r="A28" t="s">
        <v>287</v>
      </c>
      <c r="B28" s="121">
        <v>2.7</v>
      </c>
      <c r="C28" s="121">
        <v>3.6</v>
      </c>
      <c r="D28" s="218">
        <v>344</v>
      </c>
      <c r="I28" s="218">
        <f t="shared" si="0"/>
        <v>95.55555555555556</v>
      </c>
      <c r="J28" s="218">
        <v>766.3793103448277</v>
      </c>
      <c r="K28" s="218">
        <v>839.6551724137931</v>
      </c>
      <c r="L28" s="4">
        <v>870</v>
      </c>
      <c r="M28" s="4">
        <v>797</v>
      </c>
      <c r="N28" s="218">
        <f t="shared" si="2"/>
        <v>212.8831417624521</v>
      </c>
      <c r="O28" s="218">
        <f t="shared" si="2"/>
        <v>233.2375478927203</v>
      </c>
      <c r="P28" s="218">
        <f t="shared" si="2"/>
        <v>241.66666666666666</v>
      </c>
      <c r="Q28" s="218">
        <f t="shared" si="2"/>
        <v>221.38888888888889</v>
      </c>
      <c r="R28" s="218">
        <v>766.3793103448277</v>
      </c>
      <c r="S28" s="218">
        <v>839.6551724137931</v>
      </c>
    </row>
    <row r="29" spans="1:19" ht="12.75">
      <c r="A29" t="s">
        <v>286</v>
      </c>
      <c r="B29" s="121">
        <v>2.44</v>
      </c>
      <c r="C29" s="121">
        <v>4.57</v>
      </c>
      <c r="D29" s="218">
        <v>350</v>
      </c>
      <c r="I29" s="218">
        <f t="shared" si="0"/>
        <v>76.58643326039387</v>
      </c>
      <c r="J29" s="218">
        <v>693.9655172413793</v>
      </c>
      <c r="K29" s="218">
        <v>756.896551724138</v>
      </c>
      <c r="L29" s="4">
        <v>790</v>
      </c>
      <c r="M29" s="4">
        <v>723</v>
      </c>
      <c r="N29" s="218">
        <f t="shared" si="2"/>
        <v>151.85241077491887</v>
      </c>
      <c r="O29" s="218">
        <f t="shared" si="2"/>
        <v>165.62287783897986</v>
      </c>
      <c r="P29" s="218">
        <f t="shared" si="2"/>
        <v>172.86652078774617</v>
      </c>
      <c r="Q29" s="218">
        <f t="shared" si="2"/>
        <v>158.20568927789932</v>
      </c>
      <c r="R29" s="218">
        <v>693.9655172413793</v>
      </c>
      <c r="S29" s="218">
        <v>756.896551724138</v>
      </c>
    </row>
    <row r="30" spans="1:19" ht="12.75">
      <c r="A30" t="s">
        <v>287</v>
      </c>
      <c r="B30" s="121">
        <v>2.8</v>
      </c>
      <c r="C30" s="121">
        <v>3.6</v>
      </c>
      <c r="D30" s="218">
        <v>387</v>
      </c>
      <c r="I30" s="218">
        <f t="shared" si="0"/>
        <v>107.5</v>
      </c>
      <c r="J30" s="218">
        <v>789.6551724137931</v>
      </c>
      <c r="K30" s="218">
        <v>861.2068965517242</v>
      </c>
      <c r="L30" s="4">
        <v>901</v>
      </c>
      <c r="M30" s="4">
        <v>826</v>
      </c>
      <c r="N30" s="218">
        <f t="shared" si="2"/>
        <v>219.34865900383141</v>
      </c>
      <c r="O30" s="218">
        <f t="shared" si="2"/>
        <v>239.22413793103448</v>
      </c>
      <c r="P30" s="218">
        <f t="shared" si="2"/>
        <v>250.27777777777777</v>
      </c>
      <c r="Q30" s="218">
        <f t="shared" si="2"/>
        <v>229.44444444444443</v>
      </c>
      <c r="R30" s="218">
        <v>789.6551724137931</v>
      </c>
      <c r="S30" s="218">
        <v>861.2068965517242</v>
      </c>
    </row>
    <row r="31" spans="1:19" ht="12.75">
      <c r="A31" t="s">
        <v>323</v>
      </c>
      <c r="B31" s="121">
        <v>2.9</v>
      </c>
      <c r="C31" s="121">
        <v>4</v>
      </c>
      <c r="D31" s="218">
        <v>395</v>
      </c>
      <c r="I31" s="218">
        <f t="shared" si="0"/>
        <v>98.75</v>
      </c>
      <c r="J31" s="218">
        <v>884.4827586206898</v>
      </c>
      <c r="K31" s="218">
        <v>964.6551724137931</v>
      </c>
      <c r="L31" s="4">
        <v>1013</v>
      </c>
      <c r="M31" s="4">
        <v>929</v>
      </c>
      <c r="N31" s="218">
        <f t="shared" si="2"/>
        <v>221.12068965517244</v>
      </c>
      <c r="O31" s="218">
        <f t="shared" si="2"/>
        <v>241.16379310344828</v>
      </c>
      <c r="P31" s="218">
        <f t="shared" si="2"/>
        <v>253.25</v>
      </c>
      <c r="Q31" s="218">
        <f t="shared" si="2"/>
        <v>232.25</v>
      </c>
      <c r="R31" s="218">
        <v>884.4827586206898</v>
      </c>
      <c r="S31" s="218">
        <v>964.6551724137931</v>
      </c>
    </row>
    <row r="32" spans="1:19" ht="12.75">
      <c r="A32" t="s">
        <v>286</v>
      </c>
      <c r="B32" s="121">
        <v>2.59</v>
      </c>
      <c r="C32" s="121">
        <v>4.57</v>
      </c>
      <c r="D32" s="218">
        <v>400</v>
      </c>
      <c r="I32" s="218">
        <f t="shared" si="0"/>
        <v>87.527352297593</v>
      </c>
      <c r="J32" s="218">
        <v>743.1034482758621</v>
      </c>
      <c r="K32" s="218">
        <v>808.6206896551724</v>
      </c>
      <c r="L32" s="4">
        <v>849</v>
      </c>
      <c r="M32" s="4">
        <v>778</v>
      </c>
      <c r="N32" s="218">
        <f t="shared" si="2"/>
        <v>162.60469327699388</v>
      </c>
      <c r="O32" s="218">
        <f t="shared" si="2"/>
        <v>176.9410699464272</v>
      </c>
      <c r="P32" s="218">
        <f t="shared" si="2"/>
        <v>185.77680525164112</v>
      </c>
      <c r="Q32" s="218">
        <f t="shared" si="2"/>
        <v>170.24070021881838</v>
      </c>
      <c r="R32" s="218">
        <v>743.1034482758621</v>
      </c>
      <c r="S32" s="218">
        <v>808.6206896551724</v>
      </c>
    </row>
    <row r="33" spans="1:19" ht="12.75">
      <c r="A33" t="s">
        <v>286</v>
      </c>
      <c r="B33" s="121">
        <v>2.74</v>
      </c>
      <c r="C33" s="121">
        <v>3.66</v>
      </c>
      <c r="D33" s="218">
        <v>400</v>
      </c>
      <c r="I33" s="218">
        <f t="shared" si="0"/>
        <v>109.2896174863388</v>
      </c>
      <c r="J33" s="218">
        <v>845.6896551724138</v>
      </c>
      <c r="K33" s="218">
        <v>919.8275862068966</v>
      </c>
      <c r="L33" s="4">
        <v>969</v>
      </c>
      <c r="M33" s="4">
        <v>889</v>
      </c>
      <c r="N33" s="218">
        <f t="shared" si="2"/>
        <v>231.06274731486715</v>
      </c>
      <c r="O33" s="218">
        <f t="shared" si="2"/>
        <v>251.31901262483512</v>
      </c>
      <c r="P33" s="218">
        <f t="shared" si="2"/>
        <v>264.75409836065575</v>
      </c>
      <c r="Q33" s="218">
        <f t="shared" si="2"/>
        <v>242.89617486338796</v>
      </c>
      <c r="R33" s="218">
        <v>845.6896551724138</v>
      </c>
      <c r="S33" s="218">
        <v>919.8275862068966</v>
      </c>
    </row>
    <row r="34" spans="1:19" ht="12.75">
      <c r="A34" t="s">
        <v>287</v>
      </c>
      <c r="B34" s="121">
        <v>2.7</v>
      </c>
      <c r="C34" s="121">
        <v>4.2</v>
      </c>
      <c r="D34" s="218">
        <v>401</v>
      </c>
      <c r="I34" s="218">
        <f aca="true" t="shared" si="3" ref="I34:I65">D34/C34</f>
        <v>95.47619047619047</v>
      </c>
      <c r="J34" s="218">
        <v>946.551724137931</v>
      </c>
      <c r="K34" s="218">
        <v>1031.0344827586207</v>
      </c>
      <c r="L34" s="4">
        <v>1089</v>
      </c>
      <c r="M34" s="4">
        <v>1000</v>
      </c>
      <c r="N34" s="218">
        <f t="shared" si="2"/>
        <v>225.3694581280788</v>
      </c>
      <c r="O34" s="218">
        <f t="shared" si="2"/>
        <v>245.48440065681444</v>
      </c>
      <c r="P34" s="218">
        <f t="shared" si="2"/>
        <v>259.2857142857143</v>
      </c>
      <c r="Q34" s="218">
        <f t="shared" si="2"/>
        <v>238.09523809523807</v>
      </c>
      <c r="R34" s="218">
        <v>946.551724137931</v>
      </c>
      <c r="S34" s="218">
        <v>1031.0344827586207</v>
      </c>
    </row>
    <row r="35" spans="1:19" ht="12.75">
      <c r="A35" t="s">
        <v>287</v>
      </c>
      <c r="B35" s="121">
        <v>3</v>
      </c>
      <c r="C35" s="121">
        <v>3.6</v>
      </c>
      <c r="D35" s="218">
        <v>433</v>
      </c>
      <c r="I35" s="218">
        <f t="shared" si="3"/>
        <v>120.27777777777777</v>
      </c>
      <c r="J35" s="218">
        <v>846.551724137931</v>
      </c>
      <c r="K35" s="218">
        <v>918.1034482758621</v>
      </c>
      <c r="L35" s="4">
        <v>976</v>
      </c>
      <c r="M35" s="4">
        <v>896</v>
      </c>
      <c r="N35" s="218">
        <f t="shared" si="2"/>
        <v>235.15325670498083</v>
      </c>
      <c r="O35" s="218">
        <f t="shared" si="2"/>
        <v>255.0287356321839</v>
      </c>
      <c r="P35" s="218">
        <f t="shared" si="2"/>
        <v>271.1111111111111</v>
      </c>
      <c r="Q35" s="218">
        <f t="shared" si="2"/>
        <v>248.88888888888889</v>
      </c>
      <c r="R35" s="218">
        <v>846.551724137931</v>
      </c>
      <c r="S35" s="218">
        <v>918.1034482758621</v>
      </c>
    </row>
    <row r="36" spans="1:19" ht="12.75">
      <c r="A36" t="s">
        <v>286</v>
      </c>
      <c r="B36" s="121">
        <v>2.9</v>
      </c>
      <c r="C36" s="121">
        <v>3.66</v>
      </c>
      <c r="D36" s="218">
        <v>450</v>
      </c>
      <c r="I36" s="218">
        <f t="shared" si="3"/>
        <v>122.95081967213115</v>
      </c>
      <c r="J36" s="218">
        <v>962.9310344827587</v>
      </c>
      <c r="K36" s="218">
        <v>1044.8275862068965</v>
      </c>
      <c r="L36" s="4">
        <v>1114</v>
      </c>
      <c r="M36" s="4">
        <v>1024</v>
      </c>
      <c r="N36" s="218">
        <f t="shared" si="2"/>
        <v>263.09591106086305</v>
      </c>
      <c r="O36" s="218">
        <f t="shared" si="2"/>
        <v>285.47201808931595</v>
      </c>
      <c r="P36" s="218">
        <f t="shared" si="2"/>
        <v>304.37158469945354</v>
      </c>
      <c r="Q36" s="218">
        <f t="shared" si="2"/>
        <v>279.7814207650273</v>
      </c>
      <c r="R36" s="218">
        <v>962.9310344827587</v>
      </c>
      <c r="S36" s="218">
        <v>1044.8275862068965</v>
      </c>
    </row>
    <row r="37" spans="1:19" ht="12.75">
      <c r="A37" t="s">
        <v>287</v>
      </c>
      <c r="B37" s="121">
        <v>2.8</v>
      </c>
      <c r="C37" s="121">
        <v>4.2</v>
      </c>
      <c r="D37" s="218">
        <v>452</v>
      </c>
      <c r="I37" s="218">
        <f t="shared" si="3"/>
        <v>107.61904761904762</v>
      </c>
      <c r="J37" s="218">
        <v>1079.3103448275863</v>
      </c>
      <c r="K37" s="218">
        <v>1170.689655172414</v>
      </c>
      <c r="L37" s="4">
        <v>1252</v>
      </c>
      <c r="M37" s="4">
        <v>1152</v>
      </c>
      <c r="N37" s="218">
        <f t="shared" si="2"/>
        <v>256.9786535303777</v>
      </c>
      <c r="O37" s="218">
        <f t="shared" si="2"/>
        <v>278.7356321839081</v>
      </c>
      <c r="P37" s="218">
        <f t="shared" si="2"/>
        <v>298.0952380952381</v>
      </c>
      <c r="Q37" s="218">
        <f t="shared" si="2"/>
        <v>274.2857142857143</v>
      </c>
      <c r="R37" s="218">
        <v>1079.3103448275863</v>
      </c>
      <c r="S37" s="218">
        <v>1170.689655172414</v>
      </c>
    </row>
    <row r="38" spans="1:19" ht="12.75">
      <c r="A38" t="s">
        <v>287</v>
      </c>
      <c r="B38" s="121">
        <v>3.2</v>
      </c>
      <c r="C38" s="121">
        <v>3.6</v>
      </c>
      <c r="D38" s="218">
        <v>483</v>
      </c>
      <c r="I38" s="218">
        <f t="shared" si="3"/>
        <v>134.16666666666666</v>
      </c>
      <c r="J38" s="218">
        <v>1089.6551724137933</v>
      </c>
      <c r="K38" s="218">
        <v>1178.448275862069</v>
      </c>
      <c r="L38" s="4">
        <v>1272</v>
      </c>
      <c r="M38" s="4">
        <v>1170</v>
      </c>
      <c r="N38" s="218">
        <f t="shared" si="2"/>
        <v>302.6819923371648</v>
      </c>
      <c r="O38" s="218">
        <f t="shared" si="2"/>
        <v>327.34674329501917</v>
      </c>
      <c r="P38" s="218">
        <f t="shared" si="2"/>
        <v>353.3333333333333</v>
      </c>
      <c r="Q38" s="218">
        <f t="shared" si="2"/>
        <v>325</v>
      </c>
      <c r="R38" s="218">
        <v>1089.6551724137933</v>
      </c>
      <c r="S38" s="218">
        <v>1178.448275862069</v>
      </c>
    </row>
    <row r="39" spans="1:19" ht="12.75">
      <c r="A39" t="s">
        <v>286</v>
      </c>
      <c r="B39" s="121">
        <v>2.74</v>
      </c>
      <c r="C39" s="121">
        <v>4.88</v>
      </c>
      <c r="D39" s="218">
        <v>500</v>
      </c>
      <c r="I39" s="218">
        <f t="shared" si="3"/>
        <v>102.45901639344262</v>
      </c>
      <c r="J39" s="218">
        <v>1221.5517241379312</v>
      </c>
      <c r="K39" s="218">
        <v>1320.689655172414</v>
      </c>
      <c r="L39" s="4">
        <v>1429</v>
      </c>
      <c r="M39" s="4">
        <v>1316</v>
      </c>
      <c r="N39" s="218">
        <f t="shared" si="2"/>
        <v>250.31797625777278</v>
      </c>
      <c r="O39" s="218">
        <f t="shared" si="2"/>
        <v>270.63312605992087</v>
      </c>
      <c r="P39" s="218">
        <f t="shared" si="2"/>
        <v>292.827868852459</v>
      </c>
      <c r="Q39" s="218">
        <f t="shared" si="2"/>
        <v>269.672131147541</v>
      </c>
      <c r="R39" s="218">
        <v>1221.5517241379312</v>
      </c>
      <c r="S39" s="218">
        <v>1320.689655172414</v>
      </c>
    </row>
    <row r="40" spans="1:19" ht="12.75">
      <c r="A40" t="s">
        <v>286</v>
      </c>
      <c r="B40" s="121">
        <v>3.05</v>
      </c>
      <c r="C40" s="121">
        <v>3.96</v>
      </c>
      <c r="D40" s="218">
        <v>500</v>
      </c>
      <c r="I40" s="218">
        <f t="shared" si="3"/>
        <v>126.26262626262627</v>
      </c>
      <c r="J40" s="218">
        <v>1351.7241379310346</v>
      </c>
      <c r="K40" s="218">
        <v>1461.2068965517242</v>
      </c>
      <c r="L40" s="4">
        <v>1586</v>
      </c>
      <c r="M40" s="4">
        <v>1462</v>
      </c>
      <c r="N40" s="218">
        <f t="shared" si="2"/>
        <v>341.3444792755138</v>
      </c>
      <c r="O40" s="218">
        <f t="shared" si="2"/>
        <v>368.9916405433647</v>
      </c>
      <c r="P40" s="218">
        <f t="shared" si="2"/>
        <v>400.5050505050505</v>
      </c>
      <c r="Q40" s="218">
        <f t="shared" si="2"/>
        <v>369.19191919191917</v>
      </c>
      <c r="R40" s="218">
        <v>1351.7241379310346</v>
      </c>
      <c r="S40" s="218">
        <v>1461.2068965517242</v>
      </c>
    </row>
    <row r="41" spans="1:19" ht="12.75">
      <c r="A41" t="s">
        <v>287</v>
      </c>
      <c r="B41" s="121">
        <v>3</v>
      </c>
      <c r="C41" s="121">
        <v>4.2</v>
      </c>
      <c r="D41" s="218">
        <v>506</v>
      </c>
      <c r="I41" s="218">
        <f t="shared" si="3"/>
        <v>120.47619047619047</v>
      </c>
      <c r="J41" s="218">
        <v>1156.0344827586207</v>
      </c>
      <c r="K41" s="218">
        <v>1248.2758620689656</v>
      </c>
      <c r="L41" s="4">
        <v>1355</v>
      </c>
      <c r="M41" s="4">
        <v>1247</v>
      </c>
      <c r="N41" s="218">
        <f t="shared" si="2"/>
        <v>275.2463054187192</v>
      </c>
      <c r="O41" s="218">
        <f t="shared" si="2"/>
        <v>297.2085385878489</v>
      </c>
      <c r="P41" s="218">
        <f t="shared" si="2"/>
        <v>322.6190476190476</v>
      </c>
      <c r="Q41" s="218">
        <f t="shared" si="2"/>
        <v>296.90476190476187</v>
      </c>
      <c r="R41" s="218">
        <v>1156.0344827586207</v>
      </c>
      <c r="S41" s="218">
        <v>1248.2758620689656</v>
      </c>
    </row>
    <row r="42" spans="1:19" ht="12.75">
      <c r="A42" t="s">
        <v>323</v>
      </c>
      <c r="B42" s="121">
        <v>3.25</v>
      </c>
      <c r="C42" s="121">
        <v>4.3</v>
      </c>
      <c r="D42" s="218">
        <v>515</v>
      </c>
      <c r="I42" s="218">
        <f t="shared" si="3"/>
        <v>119.76744186046513</v>
      </c>
      <c r="J42" s="218">
        <v>1295.689655172414</v>
      </c>
      <c r="K42" s="218">
        <v>1399.1379310344828</v>
      </c>
      <c r="L42" s="4">
        <v>1522</v>
      </c>
      <c r="M42" s="4">
        <v>1403</v>
      </c>
      <c r="N42" s="218">
        <f aca="true" t="shared" si="4" ref="N42:Q61">J42/$C42</f>
        <v>301.3231756214916</v>
      </c>
      <c r="O42" s="218">
        <f t="shared" si="4"/>
        <v>325.3809141940658</v>
      </c>
      <c r="P42" s="218">
        <f t="shared" si="4"/>
        <v>353.95348837209303</v>
      </c>
      <c r="Q42" s="218">
        <f t="shared" si="4"/>
        <v>326.27906976744185</v>
      </c>
      <c r="R42" s="218">
        <v>1295.689655172414</v>
      </c>
      <c r="S42" s="218">
        <v>1399.1379310344828</v>
      </c>
    </row>
    <row r="43" spans="1:19" ht="12.75">
      <c r="A43" t="s">
        <v>287</v>
      </c>
      <c r="B43" s="121">
        <v>2.8</v>
      </c>
      <c r="C43" s="121">
        <v>4.8</v>
      </c>
      <c r="D43" s="218">
        <v>517</v>
      </c>
      <c r="I43" s="218">
        <f t="shared" si="3"/>
        <v>107.70833333333334</v>
      </c>
      <c r="J43" s="218">
        <v>1434.4827586206898</v>
      </c>
      <c r="K43" s="218">
        <v>1549.1379310344828</v>
      </c>
      <c r="L43" s="4">
        <v>1690</v>
      </c>
      <c r="M43" s="4">
        <v>1559</v>
      </c>
      <c r="N43" s="218">
        <f t="shared" si="4"/>
        <v>298.8505747126437</v>
      </c>
      <c r="O43" s="218">
        <f t="shared" si="4"/>
        <v>322.73706896551727</v>
      </c>
      <c r="P43" s="218">
        <f t="shared" si="4"/>
        <v>352.08333333333337</v>
      </c>
      <c r="Q43" s="218">
        <f t="shared" si="4"/>
        <v>324.7916666666667</v>
      </c>
      <c r="R43" s="218">
        <v>1434.4827586206898</v>
      </c>
      <c r="S43" s="218">
        <v>1549.1379310344828</v>
      </c>
    </row>
    <row r="44" spans="1:19" ht="12.75">
      <c r="A44" t="s">
        <v>286</v>
      </c>
      <c r="B44" s="121">
        <v>2.9</v>
      </c>
      <c r="C44" s="121">
        <v>4.88</v>
      </c>
      <c r="D44" s="218">
        <v>550</v>
      </c>
      <c r="I44" s="218">
        <f t="shared" si="3"/>
        <v>112.70491803278689</v>
      </c>
      <c r="J44" s="218">
        <v>1225</v>
      </c>
      <c r="K44" s="218">
        <v>1320.689655172414</v>
      </c>
      <c r="L44" s="4">
        <v>1441</v>
      </c>
      <c r="M44" s="4">
        <v>1328</v>
      </c>
      <c r="N44" s="218">
        <f t="shared" si="4"/>
        <v>251.02459016393442</v>
      </c>
      <c r="O44" s="218">
        <f t="shared" si="4"/>
        <v>270.63312605992087</v>
      </c>
      <c r="P44" s="218">
        <f t="shared" si="4"/>
        <v>295.28688524590166</v>
      </c>
      <c r="Q44" s="218">
        <f t="shared" si="4"/>
        <v>272.1311475409836</v>
      </c>
      <c r="R44" s="218">
        <v>1225</v>
      </c>
      <c r="S44" s="218">
        <v>1320.689655172414</v>
      </c>
    </row>
    <row r="45" spans="1:19" ht="12.75">
      <c r="A45" t="s">
        <v>290</v>
      </c>
      <c r="B45" s="121">
        <v>3.3528000000000002</v>
      </c>
      <c r="C45" s="121">
        <v>3.3528000000000002</v>
      </c>
      <c r="D45" s="218">
        <v>560</v>
      </c>
      <c r="I45" s="218">
        <f t="shared" si="3"/>
        <v>167.02457647339537</v>
      </c>
      <c r="J45" s="218">
        <v>1373.2758620689656</v>
      </c>
      <c r="K45" s="218">
        <v>1480.1724137931035</v>
      </c>
      <c r="L45" s="4">
        <v>162</v>
      </c>
      <c r="M45" s="4">
        <v>1494</v>
      </c>
      <c r="N45" s="218">
        <f t="shared" si="4"/>
        <v>409.59074864858195</v>
      </c>
      <c r="O45" s="218">
        <f t="shared" si="4"/>
        <v>441.47351878820785</v>
      </c>
      <c r="P45" s="218">
        <f t="shared" si="4"/>
        <v>48.31782390837509</v>
      </c>
      <c r="Q45" s="218">
        <f t="shared" si="4"/>
        <v>445.5977093772369</v>
      </c>
      <c r="R45" s="218">
        <v>1373.2758620689656</v>
      </c>
      <c r="S45" s="218">
        <v>1480.1724137931035</v>
      </c>
    </row>
    <row r="46" spans="1:19" ht="12.75">
      <c r="A46" t="s">
        <v>287</v>
      </c>
      <c r="B46" s="121">
        <v>3.2</v>
      </c>
      <c r="C46" s="121">
        <v>4.2</v>
      </c>
      <c r="D46" s="218">
        <v>564</v>
      </c>
      <c r="I46" s="218">
        <f t="shared" si="3"/>
        <v>134.28571428571428</v>
      </c>
      <c r="J46" s="218">
        <v>1519.8275862068967</v>
      </c>
      <c r="K46" s="218">
        <v>1638.793103448276</v>
      </c>
      <c r="L46" s="4">
        <v>1798</v>
      </c>
      <c r="M46" s="4">
        <v>1660</v>
      </c>
      <c r="N46" s="218">
        <f t="shared" si="4"/>
        <v>361.86371100164206</v>
      </c>
      <c r="O46" s="218">
        <f t="shared" si="4"/>
        <v>390.1888341543514</v>
      </c>
      <c r="P46" s="218">
        <f t="shared" si="4"/>
        <v>428.0952380952381</v>
      </c>
      <c r="Q46" s="218">
        <f t="shared" si="4"/>
        <v>395.23809523809524</v>
      </c>
      <c r="R46" s="218">
        <v>1519.8275862068967</v>
      </c>
      <c r="S46" s="218">
        <v>1638.793103448276</v>
      </c>
    </row>
    <row r="47" spans="1:19" ht="12.75">
      <c r="A47" t="s">
        <v>290</v>
      </c>
      <c r="B47" s="121">
        <v>3.6576</v>
      </c>
      <c r="C47" s="121">
        <v>3.6576</v>
      </c>
      <c r="D47" s="218">
        <v>566.96</v>
      </c>
      <c r="I47" s="218">
        <f t="shared" si="3"/>
        <v>155.0087489063867</v>
      </c>
      <c r="J47" s="218">
        <v>1535.344827586207</v>
      </c>
      <c r="K47" s="218">
        <v>1650.8620689655174</v>
      </c>
      <c r="L47" s="4">
        <v>1825</v>
      </c>
      <c r="M47" s="4">
        <v>1685</v>
      </c>
      <c r="N47" s="218">
        <f t="shared" si="4"/>
        <v>419.76838024557276</v>
      </c>
      <c r="O47" s="218">
        <f t="shared" si="4"/>
        <v>451.35117808549796</v>
      </c>
      <c r="P47" s="218">
        <f t="shared" si="4"/>
        <v>498.9610673665792</v>
      </c>
      <c r="Q47" s="218">
        <f t="shared" si="4"/>
        <v>460.6846019247594</v>
      </c>
      <c r="R47" s="218">
        <v>1535.344827586207</v>
      </c>
      <c r="S47" s="218">
        <v>1650.8620689655174</v>
      </c>
    </row>
    <row r="48" spans="1:19" ht="12.75">
      <c r="A48" t="s">
        <v>287</v>
      </c>
      <c r="B48" s="121">
        <v>3</v>
      </c>
      <c r="C48" s="121">
        <v>4.8</v>
      </c>
      <c r="D48" s="218">
        <v>578</v>
      </c>
      <c r="I48" s="218">
        <f t="shared" si="3"/>
        <v>120.41666666666667</v>
      </c>
      <c r="J48" s="218">
        <v>1700</v>
      </c>
      <c r="K48" s="218">
        <v>1827.5862068965519</v>
      </c>
      <c r="L48" s="4">
        <v>2026</v>
      </c>
      <c r="M48" s="4">
        <v>1872</v>
      </c>
      <c r="N48" s="218">
        <f t="shared" si="4"/>
        <v>354.1666666666667</v>
      </c>
      <c r="O48" s="218">
        <f t="shared" si="4"/>
        <v>380.7471264367816</v>
      </c>
      <c r="P48" s="218">
        <f t="shared" si="4"/>
        <v>422.08333333333337</v>
      </c>
      <c r="Q48" s="218">
        <f t="shared" si="4"/>
        <v>390</v>
      </c>
      <c r="R48" s="218">
        <v>1700</v>
      </c>
      <c r="S48" s="218">
        <v>1827.5862068965519</v>
      </c>
    </row>
    <row r="49" spans="1:19" ht="12.75">
      <c r="A49" t="s">
        <v>290</v>
      </c>
      <c r="B49" s="121">
        <v>3.048</v>
      </c>
      <c r="C49" s="121">
        <v>6.4008</v>
      </c>
      <c r="D49" s="218">
        <v>619.18</v>
      </c>
      <c r="I49" s="218">
        <f t="shared" si="3"/>
        <v>96.73478315210598</v>
      </c>
      <c r="J49" s="218">
        <v>1890.5172413793105</v>
      </c>
      <c r="K49" s="218">
        <v>2032.7586206896553</v>
      </c>
      <c r="L49" s="4">
        <v>2260</v>
      </c>
      <c r="M49" s="4">
        <v>2091</v>
      </c>
      <c r="N49" s="218">
        <f t="shared" si="4"/>
        <v>295.3563994155903</v>
      </c>
      <c r="O49" s="218">
        <f t="shared" si="4"/>
        <v>317.57883712811764</v>
      </c>
      <c r="P49" s="218">
        <f t="shared" si="4"/>
        <v>353.0808648918885</v>
      </c>
      <c r="Q49" s="218">
        <f t="shared" si="4"/>
        <v>326.6779152605924</v>
      </c>
      <c r="R49" s="218">
        <v>1890.5172413793105</v>
      </c>
      <c r="S49" s="218">
        <v>2032.7586206896553</v>
      </c>
    </row>
    <row r="50" spans="1:19" ht="12.75">
      <c r="A50" t="s">
        <v>287</v>
      </c>
      <c r="B50" s="121">
        <v>3.3</v>
      </c>
      <c r="C50" s="121">
        <v>4.2</v>
      </c>
      <c r="D50" s="218">
        <v>630</v>
      </c>
      <c r="I50" s="218">
        <f t="shared" si="3"/>
        <v>150</v>
      </c>
      <c r="J50" s="218">
        <v>1619.8275862068967</v>
      </c>
      <c r="K50" s="218">
        <v>1739.6551724137933</v>
      </c>
      <c r="L50" s="4">
        <v>1933</v>
      </c>
      <c r="M50" s="4">
        <v>1786</v>
      </c>
      <c r="N50" s="218">
        <f t="shared" si="4"/>
        <v>385.67323481116586</v>
      </c>
      <c r="O50" s="218">
        <f t="shared" si="4"/>
        <v>414.20361247947454</v>
      </c>
      <c r="P50" s="218">
        <f t="shared" si="4"/>
        <v>460.23809523809524</v>
      </c>
      <c r="Q50" s="218">
        <f t="shared" si="4"/>
        <v>425.23809523809524</v>
      </c>
      <c r="R50" s="218">
        <v>1619.8275862068967</v>
      </c>
      <c r="S50" s="218">
        <v>1739.6551724137933</v>
      </c>
    </row>
    <row r="51" spans="1:19" ht="12.75">
      <c r="A51" t="s">
        <v>287</v>
      </c>
      <c r="B51" s="121">
        <v>3.2</v>
      </c>
      <c r="C51" s="121">
        <v>4.8</v>
      </c>
      <c r="D51" s="218">
        <v>645</v>
      </c>
      <c r="I51" s="218">
        <f t="shared" si="3"/>
        <v>134.375</v>
      </c>
      <c r="J51" s="218">
        <v>1793.9655172413795</v>
      </c>
      <c r="K51" s="218">
        <v>1926.7241379310346</v>
      </c>
      <c r="L51" s="4">
        <v>2146</v>
      </c>
      <c r="M51" s="4">
        <v>1984</v>
      </c>
      <c r="N51" s="218">
        <f t="shared" si="4"/>
        <v>373.74281609195407</v>
      </c>
      <c r="O51" s="218">
        <f t="shared" si="4"/>
        <v>401.4008620689656</v>
      </c>
      <c r="P51" s="218">
        <f t="shared" si="4"/>
        <v>447.08333333333337</v>
      </c>
      <c r="Q51" s="218">
        <f t="shared" si="4"/>
        <v>413.33333333333337</v>
      </c>
      <c r="R51" s="218">
        <v>1793.9655172413795</v>
      </c>
      <c r="S51" s="218">
        <v>1926.7241379310346</v>
      </c>
    </row>
    <row r="52" spans="1:19" ht="12.75">
      <c r="A52" t="s">
        <v>286</v>
      </c>
      <c r="B52" s="121">
        <v>3.05</v>
      </c>
      <c r="C52" s="121">
        <v>5.18</v>
      </c>
      <c r="D52" s="218">
        <v>700</v>
      </c>
      <c r="I52" s="218">
        <f t="shared" si="3"/>
        <v>135.13513513513513</v>
      </c>
      <c r="J52" s="218">
        <v>1995.689655172414</v>
      </c>
      <c r="K52" s="218">
        <v>2143.1034482758623</v>
      </c>
      <c r="L52" s="4">
        <v>2394</v>
      </c>
      <c r="M52" s="4">
        <v>2216</v>
      </c>
      <c r="N52" s="218">
        <f t="shared" si="4"/>
        <v>385.2682731993077</v>
      </c>
      <c r="O52" s="218">
        <f t="shared" si="4"/>
        <v>413.7265344161897</v>
      </c>
      <c r="P52" s="218">
        <f t="shared" si="4"/>
        <v>462.1621621621622</v>
      </c>
      <c r="Q52" s="218">
        <f t="shared" si="4"/>
        <v>427.7992277992278</v>
      </c>
      <c r="R52" s="218">
        <v>1995.689655172414</v>
      </c>
      <c r="S52" s="218">
        <v>2143.1034482758623</v>
      </c>
    </row>
    <row r="53" spans="1:19" ht="12.75">
      <c r="A53" t="s">
        <v>286</v>
      </c>
      <c r="B53" s="121">
        <v>3.36</v>
      </c>
      <c r="C53" s="121">
        <v>4.27</v>
      </c>
      <c r="D53" s="218">
        <v>700</v>
      </c>
      <c r="I53" s="218">
        <f t="shared" si="3"/>
        <v>163.9344262295082</v>
      </c>
      <c r="J53" s="218">
        <v>1797.4137931034484</v>
      </c>
      <c r="K53" s="218">
        <v>1925.8620689655174</v>
      </c>
      <c r="L53" s="4">
        <v>2161</v>
      </c>
      <c r="M53" s="4">
        <v>1998</v>
      </c>
      <c r="N53" s="218">
        <f t="shared" si="4"/>
        <v>420.9399983848826</v>
      </c>
      <c r="O53" s="218">
        <f t="shared" si="4"/>
        <v>451.0215618186224</v>
      </c>
      <c r="P53" s="218">
        <f t="shared" si="4"/>
        <v>506.0889929742389</v>
      </c>
      <c r="Q53" s="218">
        <f t="shared" si="4"/>
        <v>467.9156908665106</v>
      </c>
      <c r="R53" s="218">
        <v>1797.4137931034484</v>
      </c>
      <c r="S53" s="218">
        <v>1925.8620689655174</v>
      </c>
    </row>
    <row r="54" spans="1:19" ht="12.75">
      <c r="A54" t="s">
        <v>287</v>
      </c>
      <c r="B54" s="121">
        <v>3.5</v>
      </c>
      <c r="C54" s="121">
        <v>4.2</v>
      </c>
      <c r="D54" s="218">
        <v>702</v>
      </c>
      <c r="I54" s="218">
        <f t="shared" si="3"/>
        <v>167.14285714285714</v>
      </c>
      <c r="J54" s="218">
        <v>1990.5172413793105</v>
      </c>
      <c r="K54" s="218">
        <v>2133.6206896551726</v>
      </c>
      <c r="L54" s="4">
        <v>2398</v>
      </c>
      <c r="M54" s="4">
        <v>2220</v>
      </c>
      <c r="N54" s="218">
        <f t="shared" si="4"/>
        <v>473.9326765188834</v>
      </c>
      <c r="O54" s="218">
        <f t="shared" si="4"/>
        <v>508.0049261083744</v>
      </c>
      <c r="P54" s="218">
        <f t="shared" si="4"/>
        <v>570.952380952381</v>
      </c>
      <c r="Q54" s="218">
        <f t="shared" si="4"/>
        <v>528.5714285714286</v>
      </c>
      <c r="R54" s="218">
        <v>1990.5172413793105</v>
      </c>
      <c r="S54" s="218">
        <v>2133.6206896551726</v>
      </c>
    </row>
    <row r="55" spans="1:19" ht="12.75">
      <c r="A55" t="s">
        <v>287</v>
      </c>
      <c r="B55" s="121">
        <v>3.3</v>
      </c>
      <c r="C55" s="121">
        <v>4.8</v>
      </c>
      <c r="D55" s="218">
        <v>721</v>
      </c>
      <c r="I55" s="218">
        <f t="shared" si="3"/>
        <v>150.20833333333334</v>
      </c>
      <c r="J55" s="218">
        <v>2214.6551724137935</v>
      </c>
      <c r="K55" s="218">
        <v>2373.2758620689656</v>
      </c>
      <c r="L55" s="4">
        <v>2676</v>
      </c>
      <c r="M55" s="4">
        <v>2479</v>
      </c>
      <c r="N55" s="218">
        <f t="shared" si="4"/>
        <v>461.38649425287366</v>
      </c>
      <c r="O55" s="218">
        <f t="shared" si="4"/>
        <v>494.43247126436785</v>
      </c>
      <c r="P55" s="218">
        <f t="shared" si="4"/>
        <v>557.5</v>
      </c>
      <c r="Q55" s="218">
        <f t="shared" si="4"/>
        <v>516.4583333333334</v>
      </c>
      <c r="R55" s="218">
        <v>2214.6551724137935</v>
      </c>
      <c r="S55" s="218">
        <v>2373.2758620689656</v>
      </c>
    </row>
    <row r="56" spans="1:19" ht="12.75">
      <c r="A56" t="s">
        <v>290</v>
      </c>
      <c r="B56" s="121">
        <v>3.9624</v>
      </c>
      <c r="C56" s="121">
        <v>3.9624</v>
      </c>
      <c r="D56" s="218">
        <v>753.46</v>
      </c>
      <c r="I56" s="218">
        <f t="shared" si="3"/>
        <v>190.1524328689683</v>
      </c>
      <c r="J56" s="218">
        <v>2093.1034482758623</v>
      </c>
      <c r="K56" s="218">
        <v>2240.5172413793107</v>
      </c>
      <c r="L56" s="4">
        <v>2531</v>
      </c>
      <c r="M56" s="4">
        <v>2344</v>
      </c>
      <c r="N56" s="218">
        <f t="shared" si="4"/>
        <v>528.2413305763836</v>
      </c>
      <c r="O56" s="218">
        <f t="shared" si="4"/>
        <v>565.4444885370762</v>
      </c>
      <c r="P56" s="218">
        <f t="shared" si="4"/>
        <v>638.7542903290935</v>
      </c>
      <c r="Q56" s="218">
        <f t="shared" si="4"/>
        <v>591.5606703008277</v>
      </c>
      <c r="R56" s="218">
        <v>2093.1034482758623</v>
      </c>
      <c r="S56" s="218">
        <v>2240.5172413793107</v>
      </c>
    </row>
    <row r="57" spans="1:19" ht="12.75">
      <c r="A57" t="s">
        <v>323</v>
      </c>
      <c r="B57" s="121">
        <v>3.5</v>
      </c>
      <c r="C57" s="121">
        <v>4.9</v>
      </c>
      <c r="D57" s="218">
        <v>775</v>
      </c>
      <c r="I57" s="218">
        <f t="shared" si="3"/>
        <v>158.16326530612244</v>
      </c>
      <c r="J57" s="218">
        <v>2329.3103448275865</v>
      </c>
      <c r="K57" s="218">
        <v>2493.1034482758623</v>
      </c>
      <c r="L57" s="4">
        <v>2824</v>
      </c>
      <c r="M57" s="4">
        <v>2618</v>
      </c>
      <c r="N57" s="218">
        <f t="shared" si="4"/>
        <v>475.36945812807886</v>
      </c>
      <c r="O57" s="218">
        <f t="shared" si="4"/>
        <v>508.7966220971147</v>
      </c>
      <c r="P57" s="218">
        <f t="shared" si="4"/>
        <v>576.3265306122448</v>
      </c>
      <c r="Q57" s="218">
        <f t="shared" si="4"/>
        <v>534.2857142857142</v>
      </c>
      <c r="R57" s="218">
        <v>2329.3103448275865</v>
      </c>
      <c r="S57" s="218">
        <v>2493.1034482758623</v>
      </c>
    </row>
    <row r="58" spans="1:19" ht="12.75">
      <c r="A58" t="s">
        <v>287</v>
      </c>
      <c r="B58" s="121">
        <v>3.6</v>
      </c>
      <c r="C58" s="121">
        <v>4.2</v>
      </c>
      <c r="D58" s="218">
        <v>777</v>
      </c>
      <c r="I58" s="218">
        <f t="shared" si="3"/>
        <v>185</v>
      </c>
      <c r="J58" s="218">
        <v>2530.1724137931037</v>
      </c>
      <c r="K58" s="218">
        <v>2708.6206896551726</v>
      </c>
      <c r="L58" s="4">
        <v>3074</v>
      </c>
      <c r="M58" s="4">
        <v>2852</v>
      </c>
      <c r="N58" s="218">
        <f t="shared" si="4"/>
        <v>602.4220032840723</v>
      </c>
      <c r="O58" s="218">
        <f t="shared" si="4"/>
        <v>644.9096880131362</v>
      </c>
      <c r="P58" s="218">
        <f t="shared" si="4"/>
        <v>731.9047619047619</v>
      </c>
      <c r="Q58" s="218">
        <f t="shared" si="4"/>
        <v>679.047619047619</v>
      </c>
      <c r="R58" s="218">
        <v>2530.1724137931037</v>
      </c>
      <c r="S58" s="218">
        <v>2708.6206896551726</v>
      </c>
    </row>
    <row r="59" spans="1:19" ht="12.75">
      <c r="A59" t="s">
        <v>287</v>
      </c>
      <c r="B59" s="121">
        <v>3.5</v>
      </c>
      <c r="C59" s="121">
        <v>4.8</v>
      </c>
      <c r="D59" s="218">
        <v>802</v>
      </c>
      <c r="I59" s="218">
        <f t="shared" si="3"/>
        <v>167.08333333333334</v>
      </c>
      <c r="J59" s="218">
        <v>2306.896551724138</v>
      </c>
      <c r="K59" s="218">
        <v>2465.5172413793107</v>
      </c>
      <c r="L59" s="4">
        <v>2809</v>
      </c>
      <c r="M59" s="4">
        <v>2605</v>
      </c>
      <c r="N59" s="218">
        <f t="shared" si="4"/>
        <v>480.60344827586215</v>
      </c>
      <c r="O59" s="218">
        <f t="shared" si="4"/>
        <v>513.6494252873564</v>
      </c>
      <c r="P59" s="218">
        <f t="shared" si="4"/>
        <v>585.2083333333334</v>
      </c>
      <c r="Q59" s="218">
        <f t="shared" si="4"/>
        <v>542.7083333333334</v>
      </c>
      <c r="R59" s="218">
        <v>2306.896551724138</v>
      </c>
      <c r="S59" s="218">
        <v>2465.5172413793107</v>
      </c>
    </row>
    <row r="60" spans="1:19" ht="12.75">
      <c r="A60" t="s">
        <v>287</v>
      </c>
      <c r="B60" s="121">
        <v>3.3</v>
      </c>
      <c r="C60" s="121">
        <v>5.4</v>
      </c>
      <c r="D60" s="218">
        <v>811</v>
      </c>
      <c r="I60" s="218">
        <f t="shared" si="3"/>
        <v>150.18518518518516</v>
      </c>
      <c r="J60" s="218">
        <v>2567.241379310345</v>
      </c>
      <c r="K60" s="218">
        <v>2743.1034482758623</v>
      </c>
      <c r="L60" s="4">
        <v>3134</v>
      </c>
      <c r="M60" s="4">
        <v>2908</v>
      </c>
      <c r="N60" s="218">
        <f t="shared" si="4"/>
        <v>475.4150702426565</v>
      </c>
      <c r="O60" s="218">
        <f t="shared" si="4"/>
        <v>507.9821200510856</v>
      </c>
      <c r="P60" s="218">
        <f t="shared" si="4"/>
        <v>580.3703703703703</v>
      </c>
      <c r="Q60" s="218">
        <f t="shared" si="4"/>
        <v>538.5185185185185</v>
      </c>
      <c r="R60" s="218">
        <v>2567.241379310345</v>
      </c>
      <c r="S60" s="218">
        <v>2743.1034482758623</v>
      </c>
    </row>
    <row r="61" spans="1:19" ht="12.75">
      <c r="A61" t="s">
        <v>290</v>
      </c>
      <c r="B61" s="121">
        <v>3.048</v>
      </c>
      <c r="C61" s="121">
        <v>8.8392</v>
      </c>
      <c r="D61" s="218">
        <v>854.17</v>
      </c>
      <c r="I61" s="218">
        <f t="shared" si="3"/>
        <v>96.63431079735722</v>
      </c>
      <c r="J61" s="218">
        <v>2789.6551724137935</v>
      </c>
      <c r="K61" s="218">
        <v>2980.1724137931037</v>
      </c>
      <c r="L61" s="4">
        <v>3412</v>
      </c>
      <c r="M61" s="4">
        <v>3169</v>
      </c>
      <c r="N61" s="218">
        <f t="shared" si="4"/>
        <v>315.6004132063754</v>
      </c>
      <c r="O61" s="218">
        <f t="shared" si="4"/>
        <v>337.1540879031025</v>
      </c>
      <c r="P61" s="218">
        <f t="shared" si="4"/>
        <v>386.0077835098199</v>
      </c>
      <c r="Q61" s="218">
        <f t="shared" si="4"/>
        <v>358.51660783781335</v>
      </c>
      <c r="R61" s="218">
        <v>2789.6551724137935</v>
      </c>
      <c r="S61" s="218">
        <v>2980.1724137931037</v>
      </c>
    </row>
    <row r="62" spans="1:19" ht="12.75">
      <c r="A62" t="s">
        <v>287</v>
      </c>
      <c r="B62" s="121">
        <v>3.8</v>
      </c>
      <c r="C62" s="121">
        <v>4.2</v>
      </c>
      <c r="D62" s="218">
        <v>857</v>
      </c>
      <c r="I62" s="218">
        <f t="shared" si="3"/>
        <v>204.04761904761904</v>
      </c>
      <c r="J62" s="218">
        <v>2418.1034482758623</v>
      </c>
      <c r="K62" s="218">
        <v>2581.896551724138</v>
      </c>
      <c r="L62" s="4">
        <v>2955</v>
      </c>
      <c r="M62" s="4">
        <v>2741</v>
      </c>
      <c r="N62" s="218">
        <f aca="true" t="shared" si="5" ref="N62:Q81">J62/$C62</f>
        <v>575.7389162561577</v>
      </c>
      <c r="O62" s="218">
        <f t="shared" si="5"/>
        <v>614.7372742200329</v>
      </c>
      <c r="P62" s="218">
        <f t="shared" si="5"/>
        <v>703.5714285714286</v>
      </c>
      <c r="Q62" s="218">
        <f t="shared" si="5"/>
        <v>652.6190476190476</v>
      </c>
      <c r="R62" s="218">
        <v>2418.1034482758623</v>
      </c>
      <c r="S62" s="218">
        <v>2581.896551724138</v>
      </c>
    </row>
    <row r="63" spans="1:19" ht="12.75">
      <c r="A63" t="s">
        <v>287</v>
      </c>
      <c r="B63" s="121">
        <v>3.6</v>
      </c>
      <c r="C63" s="121">
        <v>4.8</v>
      </c>
      <c r="D63" s="218">
        <v>888</v>
      </c>
      <c r="I63" s="218">
        <f t="shared" si="3"/>
        <v>185</v>
      </c>
      <c r="J63" s="218">
        <v>2692.241379310345</v>
      </c>
      <c r="K63" s="218">
        <v>2873.2758620689656</v>
      </c>
      <c r="L63" s="4">
        <v>3297</v>
      </c>
      <c r="M63" s="4">
        <v>3061</v>
      </c>
      <c r="N63" s="218">
        <f t="shared" si="5"/>
        <v>560.8836206896552</v>
      </c>
      <c r="O63" s="218">
        <f t="shared" si="5"/>
        <v>598.5991379310345</v>
      </c>
      <c r="P63" s="218">
        <f t="shared" si="5"/>
        <v>686.875</v>
      </c>
      <c r="Q63" s="218">
        <f t="shared" si="5"/>
        <v>637.7083333333334</v>
      </c>
      <c r="R63" s="218">
        <v>2692.241379310345</v>
      </c>
      <c r="S63" s="218">
        <v>2873.2758620689656</v>
      </c>
    </row>
    <row r="64" spans="1:19" ht="12.75">
      <c r="A64" t="s">
        <v>286</v>
      </c>
      <c r="B64" s="121">
        <v>3.36</v>
      </c>
      <c r="C64" s="121">
        <v>5.49</v>
      </c>
      <c r="D64" s="218">
        <v>900</v>
      </c>
      <c r="I64" s="218">
        <f t="shared" si="3"/>
        <v>163.93442622950818</v>
      </c>
      <c r="J64" s="218">
        <v>2925</v>
      </c>
      <c r="K64" s="218">
        <v>3122.4137931034484</v>
      </c>
      <c r="L64" s="4">
        <v>3589</v>
      </c>
      <c r="M64" s="4">
        <v>3335</v>
      </c>
      <c r="N64" s="218">
        <f t="shared" si="5"/>
        <v>532.7868852459017</v>
      </c>
      <c r="O64" s="218">
        <f t="shared" si="5"/>
        <v>568.7456818039068</v>
      </c>
      <c r="P64" s="218">
        <f t="shared" si="5"/>
        <v>653.7340619307832</v>
      </c>
      <c r="Q64" s="218">
        <f t="shared" si="5"/>
        <v>607.4681238615665</v>
      </c>
      <c r="R64" s="218">
        <v>2925</v>
      </c>
      <c r="S64" s="218">
        <v>3122.4137931034484</v>
      </c>
    </row>
    <row r="65" spans="1:19" ht="12.75">
      <c r="A65" t="s">
        <v>286</v>
      </c>
      <c r="B65" s="121">
        <v>3.66</v>
      </c>
      <c r="C65" s="121">
        <v>4.57</v>
      </c>
      <c r="D65" s="218">
        <v>900</v>
      </c>
      <c r="I65" s="218">
        <f t="shared" si="3"/>
        <v>196.93654266958424</v>
      </c>
      <c r="J65" s="218">
        <v>2950</v>
      </c>
      <c r="K65" s="218">
        <v>3143.9655172413795</v>
      </c>
      <c r="L65" s="4">
        <v>3637</v>
      </c>
      <c r="M65" s="4">
        <v>3379</v>
      </c>
      <c r="N65" s="218">
        <f t="shared" si="5"/>
        <v>645.5142231947483</v>
      </c>
      <c r="O65" s="218">
        <f t="shared" si="5"/>
        <v>687.957443597676</v>
      </c>
      <c r="P65" s="218">
        <f t="shared" si="5"/>
        <v>795.8424507658643</v>
      </c>
      <c r="Q65" s="218">
        <f t="shared" si="5"/>
        <v>739.3873085339168</v>
      </c>
      <c r="R65" s="218">
        <v>2950</v>
      </c>
      <c r="S65" s="218">
        <v>3143.9655172413795</v>
      </c>
    </row>
    <row r="66" spans="1:19" ht="12.75">
      <c r="A66" t="s">
        <v>287</v>
      </c>
      <c r="B66" s="121">
        <v>3.5</v>
      </c>
      <c r="C66" s="121">
        <v>5.4</v>
      </c>
      <c r="D66" s="218">
        <v>903</v>
      </c>
      <c r="I66" s="218">
        <f aca="true" t="shared" si="6" ref="I66:I97">D66/C66</f>
        <v>167.2222222222222</v>
      </c>
      <c r="J66" s="218">
        <v>3206.034482758621</v>
      </c>
      <c r="K66" s="218">
        <v>3416.379310344828</v>
      </c>
      <c r="L66" s="4">
        <v>3960</v>
      </c>
      <c r="M66" s="4">
        <v>3682</v>
      </c>
      <c r="N66" s="218">
        <f t="shared" si="5"/>
        <v>593.7100893997446</v>
      </c>
      <c r="O66" s="218">
        <f t="shared" si="5"/>
        <v>632.6628352490421</v>
      </c>
      <c r="P66" s="218">
        <f t="shared" si="5"/>
        <v>733.3333333333333</v>
      </c>
      <c r="Q66" s="218">
        <f t="shared" si="5"/>
        <v>681.8518518518518</v>
      </c>
      <c r="R66" s="218">
        <v>3206.034482758621</v>
      </c>
      <c r="S66" s="218">
        <v>3416.379310344828</v>
      </c>
    </row>
    <row r="67" spans="1:19" ht="12.75">
      <c r="A67" t="s">
        <v>290</v>
      </c>
      <c r="B67" s="121">
        <v>3.6576</v>
      </c>
      <c r="C67" s="121">
        <v>6.096</v>
      </c>
      <c r="D67" s="218">
        <v>939.96</v>
      </c>
      <c r="I67" s="218">
        <f t="shared" si="6"/>
        <v>154.19291338582678</v>
      </c>
      <c r="J67" s="218">
        <v>3459.4827586206898</v>
      </c>
      <c r="K67" s="218">
        <v>3687.068965517242</v>
      </c>
      <c r="L67" s="4">
        <v>4282</v>
      </c>
      <c r="M67" s="4">
        <v>3985</v>
      </c>
      <c r="N67" s="218">
        <f t="shared" si="5"/>
        <v>567.5004525296407</v>
      </c>
      <c r="O67" s="218">
        <f t="shared" si="5"/>
        <v>604.8341478866867</v>
      </c>
      <c r="P67" s="218">
        <f t="shared" si="5"/>
        <v>702.4278215223097</v>
      </c>
      <c r="Q67" s="218">
        <f t="shared" si="5"/>
        <v>653.7073490813648</v>
      </c>
      <c r="R67" s="218">
        <v>3459.4827586206898</v>
      </c>
      <c r="S67" s="218">
        <v>3687.068965517242</v>
      </c>
    </row>
    <row r="68" spans="1:19" ht="12.75">
      <c r="A68" t="s">
        <v>287</v>
      </c>
      <c r="B68" s="121">
        <v>3.8</v>
      </c>
      <c r="C68" s="121">
        <v>4.8</v>
      </c>
      <c r="D68" s="218">
        <v>979</v>
      </c>
      <c r="I68" s="218">
        <f t="shared" si="6"/>
        <v>203.95833333333334</v>
      </c>
      <c r="J68" s="218">
        <v>3084.4827586206898</v>
      </c>
      <c r="K68" s="218">
        <v>3283.6206896551726</v>
      </c>
      <c r="L68" s="4">
        <v>3814</v>
      </c>
      <c r="M68" s="4">
        <v>3546</v>
      </c>
      <c r="N68" s="218">
        <f t="shared" si="5"/>
        <v>642.6005747126437</v>
      </c>
      <c r="O68" s="218">
        <f t="shared" si="5"/>
        <v>684.0876436781609</v>
      </c>
      <c r="P68" s="218">
        <f t="shared" si="5"/>
        <v>794.5833333333334</v>
      </c>
      <c r="Q68" s="218">
        <f t="shared" si="5"/>
        <v>738.75</v>
      </c>
      <c r="R68" s="218">
        <v>3084.4827586206898</v>
      </c>
      <c r="S68" s="218">
        <v>3283.6206896551726</v>
      </c>
    </row>
    <row r="69" spans="1:19" ht="12.75">
      <c r="A69" t="s">
        <v>290</v>
      </c>
      <c r="B69" s="121">
        <v>4.2672</v>
      </c>
      <c r="C69" s="121">
        <v>4.2672</v>
      </c>
      <c r="D69" s="218">
        <v>984.72</v>
      </c>
      <c r="I69" s="218">
        <f t="shared" si="6"/>
        <v>230.76490438695166</v>
      </c>
      <c r="J69" s="218">
        <v>3351.724137931035</v>
      </c>
      <c r="K69" s="218">
        <v>3568.9655172413795</v>
      </c>
      <c r="L69" s="4">
        <v>4153</v>
      </c>
      <c r="M69" s="4">
        <v>3863</v>
      </c>
      <c r="N69" s="218">
        <f t="shared" si="5"/>
        <v>785.4621620573291</v>
      </c>
      <c r="O69" s="218">
        <f t="shared" si="5"/>
        <v>836.3717466351189</v>
      </c>
      <c r="P69" s="218">
        <f t="shared" si="5"/>
        <v>973.2377202849644</v>
      </c>
      <c r="Q69" s="218">
        <f t="shared" si="5"/>
        <v>905.2774653168354</v>
      </c>
      <c r="R69" s="218">
        <v>3351.724137931035</v>
      </c>
      <c r="S69" s="218">
        <v>3568.9655172413795</v>
      </c>
    </row>
    <row r="70" spans="1:19" ht="12.75">
      <c r="A70" t="s">
        <v>287</v>
      </c>
      <c r="B70" s="121">
        <v>3.6</v>
      </c>
      <c r="C70" s="121">
        <v>5.4</v>
      </c>
      <c r="D70" s="218">
        <v>1000</v>
      </c>
      <c r="I70" s="218">
        <f t="shared" si="6"/>
        <v>185.18518518518516</v>
      </c>
      <c r="J70" s="218">
        <v>3618.1034482758623</v>
      </c>
      <c r="K70" s="218">
        <v>3851.724137931035</v>
      </c>
      <c r="L70" s="4">
        <v>4491</v>
      </c>
      <c r="M70" s="4">
        <v>4181</v>
      </c>
      <c r="N70" s="218">
        <f t="shared" si="5"/>
        <v>670.0191570881226</v>
      </c>
      <c r="O70" s="218">
        <f t="shared" si="5"/>
        <v>713.2822477650064</v>
      </c>
      <c r="P70" s="218">
        <f t="shared" si="5"/>
        <v>831.6666666666666</v>
      </c>
      <c r="Q70" s="218">
        <f t="shared" si="5"/>
        <v>774.2592592592592</v>
      </c>
      <c r="R70" s="218">
        <v>3618.1034482758623</v>
      </c>
      <c r="S70" s="218">
        <v>3851.724137931035</v>
      </c>
    </row>
    <row r="71" spans="1:19" ht="12.75">
      <c r="A71" t="s">
        <v>323</v>
      </c>
      <c r="B71" s="121">
        <v>3.8</v>
      </c>
      <c r="C71" s="121">
        <v>5.3</v>
      </c>
      <c r="D71" s="218">
        <v>1040</v>
      </c>
      <c r="I71" s="218">
        <f t="shared" si="6"/>
        <v>196.22641509433964</v>
      </c>
      <c r="J71" s="4">
        <v>238</v>
      </c>
      <c r="K71" s="4">
        <v>268</v>
      </c>
      <c r="L71" s="4">
        <v>253</v>
      </c>
      <c r="M71" s="4">
        <v>203</v>
      </c>
      <c r="N71" s="218">
        <f t="shared" si="5"/>
        <v>44.905660377358494</v>
      </c>
      <c r="O71" s="218">
        <f t="shared" si="5"/>
        <v>50.56603773584906</v>
      </c>
      <c r="P71" s="218">
        <f t="shared" si="5"/>
        <v>47.735849056603776</v>
      </c>
      <c r="Q71" s="218">
        <f t="shared" si="5"/>
        <v>38.301886792452834</v>
      </c>
      <c r="R71" s="218">
        <v>3618.1034482758623</v>
      </c>
      <c r="S71" s="218">
        <v>3851.724137931035</v>
      </c>
    </row>
    <row r="72" spans="1:19" ht="12.75">
      <c r="A72" t="s">
        <v>287</v>
      </c>
      <c r="B72" s="121">
        <v>4</v>
      </c>
      <c r="C72" s="121">
        <v>4.8</v>
      </c>
      <c r="D72" s="218">
        <v>1072</v>
      </c>
      <c r="I72" s="218">
        <f t="shared" si="6"/>
        <v>223.33333333333334</v>
      </c>
      <c r="J72" s="4">
        <v>318</v>
      </c>
      <c r="K72" s="4">
        <v>354</v>
      </c>
      <c r="L72" s="4">
        <v>345</v>
      </c>
      <c r="M72" s="4">
        <v>277</v>
      </c>
      <c r="N72" s="218">
        <f t="shared" si="5"/>
        <v>66.25</v>
      </c>
      <c r="O72" s="218">
        <f t="shared" si="5"/>
        <v>73.75</v>
      </c>
      <c r="P72" s="218">
        <f t="shared" si="5"/>
        <v>71.875</v>
      </c>
      <c r="Q72" s="218">
        <f t="shared" si="5"/>
        <v>57.708333333333336</v>
      </c>
      <c r="R72" s="218">
        <v>3618.1034482758623</v>
      </c>
      <c r="S72" s="218">
        <v>3851.724137931035</v>
      </c>
    </row>
    <row r="73" spans="1:19" ht="12.75">
      <c r="A73" t="s">
        <v>287</v>
      </c>
      <c r="B73" s="121">
        <v>3.8</v>
      </c>
      <c r="C73" s="121">
        <v>5.4</v>
      </c>
      <c r="D73" s="218">
        <v>1102</v>
      </c>
      <c r="I73" s="218">
        <f t="shared" si="6"/>
        <v>204.07407407407405</v>
      </c>
      <c r="J73" s="4">
        <v>419</v>
      </c>
      <c r="K73" s="4">
        <v>464</v>
      </c>
      <c r="L73" s="4">
        <v>461</v>
      </c>
      <c r="M73" s="4">
        <v>372</v>
      </c>
      <c r="N73" s="218">
        <f t="shared" si="5"/>
        <v>77.59259259259258</v>
      </c>
      <c r="O73" s="218">
        <f t="shared" si="5"/>
        <v>85.92592592592592</v>
      </c>
      <c r="P73" s="218">
        <f t="shared" si="5"/>
        <v>85.37037037037037</v>
      </c>
      <c r="Q73" s="218">
        <f t="shared" si="5"/>
        <v>68.88888888888889</v>
      </c>
      <c r="R73" s="218">
        <v>3618.1034482758623</v>
      </c>
      <c r="S73" s="218">
        <v>3851.724137931035</v>
      </c>
    </row>
    <row r="74" spans="1:19" ht="12.75">
      <c r="A74" t="s">
        <v>287</v>
      </c>
      <c r="B74" s="121">
        <v>4.1</v>
      </c>
      <c r="C74" s="121">
        <v>4.8</v>
      </c>
      <c r="D74" s="218">
        <v>1168</v>
      </c>
      <c r="I74" s="218">
        <f t="shared" si="6"/>
        <v>243.33333333333334</v>
      </c>
      <c r="J74" s="4">
        <v>572</v>
      </c>
      <c r="K74" s="4">
        <v>627</v>
      </c>
      <c r="L74" s="4">
        <v>639</v>
      </c>
      <c r="M74" s="4">
        <v>519</v>
      </c>
      <c r="N74" s="218">
        <f t="shared" si="5"/>
        <v>119.16666666666667</v>
      </c>
      <c r="O74" s="218">
        <f t="shared" si="5"/>
        <v>130.625</v>
      </c>
      <c r="P74" s="218">
        <f t="shared" si="5"/>
        <v>133.125</v>
      </c>
      <c r="Q74" s="218">
        <f t="shared" si="5"/>
        <v>108.125</v>
      </c>
      <c r="R74" s="218">
        <v>3618.1034482758623</v>
      </c>
      <c r="S74" s="218">
        <v>3851.724137931035</v>
      </c>
    </row>
    <row r="75" spans="1:19" ht="12.75">
      <c r="A75" t="s">
        <v>290</v>
      </c>
      <c r="B75" s="121">
        <v>3.048</v>
      </c>
      <c r="C75" s="121">
        <v>12.192</v>
      </c>
      <c r="D75" s="218">
        <v>1178.68</v>
      </c>
      <c r="I75" s="218">
        <f t="shared" si="6"/>
        <v>96.67650918635171</v>
      </c>
      <c r="J75" s="4">
        <v>806</v>
      </c>
      <c r="K75" s="4">
        <v>878</v>
      </c>
      <c r="L75" s="4">
        <v>917</v>
      </c>
      <c r="M75" s="4">
        <v>747</v>
      </c>
      <c r="N75" s="218">
        <f t="shared" si="5"/>
        <v>66.10892388451444</v>
      </c>
      <c r="O75" s="218">
        <f t="shared" si="5"/>
        <v>72.01443569553805</v>
      </c>
      <c r="P75" s="218">
        <f t="shared" si="5"/>
        <v>75.21325459317585</v>
      </c>
      <c r="Q75" s="218">
        <f t="shared" si="5"/>
        <v>61.26968503937008</v>
      </c>
      <c r="R75" s="218">
        <v>3618.1034482758623</v>
      </c>
      <c r="S75" s="218">
        <v>3851.724137931035</v>
      </c>
    </row>
    <row r="76" spans="1:19" ht="12.75">
      <c r="A76" t="s">
        <v>290</v>
      </c>
      <c r="B76" s="121">
        <v>3.3528000000000002</v>
      </c>
      <c r="C76" s="121">
        <v>7.3152</v>
      </c>
      <c r="D76" s="218">
        <v>1178.68</v>
      </c>
      <c r="I76" s="218">
        <f t="shared" si="6"/>
        <v>161.12751531058618</v>
      </c>
      <c r="J76" s="4">
        <v>1060</v>
      </c>
      <c r="K76" s="4">
        <v>1150</v>
      </c>
      <c r="L76" s="4">
        <v>1225</v>
      </c>
      <c r="M76" s="4">
        <v>1001</v>
      </c>
      <c r="N76" s="218">
        <f t="shared" si="5"/>
        <v>144.90376202974628</v>
      </c>
      <c r="O76" s="218">
        <f t="shared" si="5"/>
        <v>157.2069116360455</v>
      </c>
      <c r="P76" s="218">
        <f t="shared" si="5"/>
        <v>167.4595363079615</v>
      </c>
      <c r="Q76" s="218">
        <f t="shared" si="5"/>
        <v>136.8383639545057</v>
      </c>
      <c r="R76" s="218">
        <v>3618.1034482758623</v>
      </c>
      <c r="S76" s="218">
        <v>3851.724137931035</v>
      </c>
    </row>
    <row r="77" spans="1:19" ht="12.75">
      <c r="A77" t="s">
        <v>286</v>
      </c>
      <c r="B77" s="121">
        <v>3.66</v>
      </c>
      <c r="C77" s="121">
        <v>6.1</v>
      </c>
      <c r="D77" s="218">
        <v>1200</v>
      </c>
      <c r="I77" s="218">
        <f t="shared" si="6"/>
        <v>196.72131147540983</v>
      </c>
      <c r="J77" s="4">
        <v>1435</v>
      </c>
      <c r="K77" s="4">
        <v>1549</v>
      </c>
      <c r="L77" s="4">
        <v>1684</v>
      </c>
      <c r="M77" s="4">
        <v>1381</v>
      </c>
      <c r="N77" s="218">
        <f t="shared" si="5"/>
        <v>235.24590163934428</v>
      </c>
      <c r="O77" s="218">
        <f t="shared" si="5"/>
        <v>253.9344262295082</v>
      </c>
      <c r="P77" s="218">
        <f t="shared" si="5"/>
        <v>276.0655737704918</v>
      </c>
      <c r="Q77" s="218">
        <f t="shared" si="5"/>
        <v>226.39344262295083</v>
      </c>
      <c r="R77" s="218">
        <v>3618.1034482758623</v>
      </c>
      <c r="S77" s="218">
        <v>3851.724137931035</v>
      </c>
    </row>
    <row r="78" spans="1:19" ht="12.75">
      <c r="A78" t="s">
        <v>286</v>
      </c>
      <c r="B78" s="121">
        <v>3.96</v>
      </c>
      <c r="C78" s="121">
        <v>4.88</v>
      </c>
      <c r="D78" s="218">
        <v>1200</v>
      </c>
      <c r="I78" s="218">
        <f t="shared" si="6"/>
        <v>245.9016393442623</v>
      </c>
      <c r="J78" s="4">
        <v>1938</v>
      </c>
      <c r="K78" s="4">
        <v>2083</v>
      </c>
      <c r="L78" s="4">
        <v>2315</v>
      </c>
      <c r="M78" s="4">
        <v>1904</v>
      </c>
      <c r="N78" s="218">
        <f t="shared" si="5"/>
        <v>397.1311475409836</v>
      </c>
      <c r="O78" s="218">
        <f t="shared" si="5"/>
        <v>426.844262295082</v>
      </c>
      <c r="P78" s="218">
        <f t="shared" si="5"/>
        <v>474.38524590163934</v>
      </c>
      <c r="Q78" s="218">
        <f t="shared" si="5"/>
        <v>390.1639344262295</v>
      </c>
      <c r="R78" s="218">
        <v>3618.1034482758623</v>
      </c>
      <c r="S78" s="218">
        <v>3851.724137931035</v>
      </c>
    </row>
    <row r="79" spans="1:19" ht="12.75">
      <c r="A79" t="s">
        <v>287</v>
      </c>
      <c r="B79" s="121">
        <v>4</v>
      </c>
      <c r="C79" s="121">
        <v>5.4</v>
      </c>
      <c r="D79" s="218">
        <v>1205</v>
      </c>
      <c r="I79" s="218">
        <f t="shared" si="6"/>
        <v>223.14814814814812</v>
      </c>
      <c r="J79" s="4">
        <v>2199</v>
      </c>
      <c r="K79" s="4">
        <v>2351</v>
      </c>
      <c r="L79" s="4">
        <v>2660</v>
      </c>
      <c r="M79" s="4">
        <v>2190</v>
      </c>
      <c r="N79" s="218">
        <f t="shared" si="5"/>
        <v>407.2222222222222</v>
      </c>
      <c r="O79" s="218">
        <f t="shared" si="5"/>
        <v>435.3703703703703</v>
      </c>
      <c r="P79" s="218">
        <f t="shared" si="5"/>
        <v>492.59259259259255</v>
      </c>
      <c r="Q79" s="218">
        <f t="shared" si="5"/>
        <v>405.55555555555554</v>
      </c>
      <c r="R79" s="218">
        <v>3618.1034482758623</v>
      </c>
      <c r="S79" s="218">
        <v>3851.724137931035</v>
      </c>
    </row>
    <row r="80" spans="1:19" ht="12.75">
      <c r="A80" t="s">
        <v>290</v>
      </c>
      <c r="B80" s="121">
        <v>4.572</v>
      </c>
      <c r="C80" s="121">
        <v>4.572</v>
      </c>
      <c r="D80" s="218">
        <v>1257.01</v>
      </c>
      <c r="I80" s="218">
        <f t="shared" si="6"/>
        <v>274.9365704286964</v>
      </c>
      <c r="J80" s="4">
        <v>2650</v>
      </c>
      <c r="K80" s="4">
        <v>2824</v>
      </c>
      <c r="L80" s="4">
        <v>3249</v>
      </c>
      <c r="M80" s="4">
        <v>2681</v>
      </c>
      <c r="N80" s="218">
        <f t="shared" si="5"/>
        <v>579.6150481189851</v>
      </c>
      <c r="O80" s="218">
        <f t="shared" si="5"/>
        <v>617.6727909011373</v>
      </c>
      <c r="P80" s="218">
        <f t="shared" si="5"/>
        <v>710.6299212598425</v>
      </c>
      <c r="Q80" s="218">
        <f t="shared" si="5"/>
        <v>586.3954505686789</v>
      </c>
      <c r="R80" s="218">
        <v>3618.1034482758623</v>
      </c>
      <c r="S80" s="218">
        <v>3851.724137931035</v>
      </c>
    </row>
    <row r="81" spans="1:19" ht="12.75">
      <c r="A81" t="s">
        <v>287</v>
      </c>
      <c r="B81" s="121">
        <v>4.2</v>
      </c>
      <c r="C81" s="121">
        <v>4.8</v>
      </c>
      <c r="D81" s="218">
        <v>1269</v>
      </c>
      <c r="I81" s="218">
        <f t="shared" si="6"/>
        <v>264.375</v>
      </c>
      <c r="J81" s="4">
        <v>3291</v>
      </c>
      <c r="K81" s="4">
        <v>3502</v>
      </c>
      <c r="L81" s="4">
        <v>4054</v>
      </c>
      <c r="M81" s="4">
        <v>3351</v>
      </c>
      <c r="N81" s="218">
        <f t="shared" si="5"/>
        <v>685.625</v>
      </c>
      <c r="O81" s="218">
        <f t="shared" si="5"/>
        <v>729.5833333333334</v>
      </c>
      <c r="P81" s="218">
        <f t="shared" si="5"/>
        <v>844.5833333333334</v>
      </c>
      <c r="Q81" s="218">
        <f t="shared" si="5"/>
        <v>698.125</v>
      </c>
      <c r="R81" s="218">
        <v>3618.1034482758623</v>
      </c>
      <c r="S81" s="218">
        <v>3851.724137931035</v>
      </c>
    </row>
    <row r="82" spans="1:19" ht="12.75">
      <c r="A82" t="s">
        <v>287</v>
      </c>
      <c r="B82" s="121">
        <v>4.1</v>
      </c>
      <c r="C82" s="121">
        <v>5.4</v>
      </c>
      <c r="D82" s="218">
        <v>1314</v>
      </c>
      <c r="I82" s="218">
        <f t="shared" si="6"/>
        <v>243.33333333333331</v>
      </c>
      <c r="J82" s="4">
        <v>82</v>
      </c>
      <c r="K82" s="4">
        <v>99</v>
      </c>
      <c r="L82" s="4">
        <v>82</v>
      </c>
      <c r="M82" s="4">
        <v>65</v>
      </c>
      <c r="N82" s="218">
        <f aca="true" t="shared" si="7" ref="N82:Q101">J82/$C82</f>
        <v>15.185185185185183</v>
      </c>
      <c r="O82" s="218">
        <f t="shared" si="7"/>
        <v>18.333333333333332</v>
      </c>
      <c r="P82" s="218">
        <f t="shared" si="7"/>
        <v>15.185185185185183</v>
      </c>
      <c r="Q82" s="218">
        <f t="shared" si="7"/>
        <v>12.037037037037036</v>
      </c>
      <c r="R82" s="218">
        <v>3618.1034482758623</v>
      </c>
      <c r="S82" s="218">
        <v>3851.724137931035</v>
      </c>
    </row>
    <row r="83" spans="1:19" ht="12.75">
      <c r="A83" t="s">
        <v>287</v>
      </c>
      <c r="B83" s="121">
        <v>4</v>
      </c>
      <c r="C83" s="121">
        <v>6</v>
      </c>
      <c r="D83" s="218">
        <v>1340</v>
      </c>
      <c r="I83" s="218">
        <f t="shared" si="6"/>
        <v>223.33333333333334</v>
      </c>
      <c r="J83" s="4">
        <v>118</v>
      </c>
      <c r="K83" s="4">
        <v>138</v>
      </c>
      <c r="L83" s="4">
        <v>121</v>
      </c>
      <c r="M83" s="4">
        <v>96</v>
      </c>
      <c r="N83" s="218">
        <f t="shared" si="7"/>
        <v>19.666666666666668</v>
      </c>
      <c r="O83" s="218">
        <f t="shared" si="7"/>
        <v>23</v>
      </c>
      <c r="P83" s="218">
        <f t="shared" si="7"/>
        <v>20.166666666666668</v>
      </c>
      <c r="Q83" s="218">
        <f t="shared" si="7"/>
        <v>16</v>
      </c>
      <c r="R83" s="218">
        <v>3618.1034482758623</v>
      </c>
      <c r="S83" s="218">
        <v>3851.724137931035</v>
      </c>
    </row>
    <row r="84" spans="1:19" ht="12.75">
      <c r="A84" t="s">
        <v>290</v>
      </c>
      <c r="B84" s="121">
        <v>3.3528000000000002</v>
      </c>
      <c r="C84" s="121">
        <v>10.9728</v>
      </c>
      <c r="D84" s="218">
        <v>1357.72</v>
      </c>
      <c r="I84" s="218">
        <f t="shared" si="6"/>
        <v>123.73505395158939</v>
      </c>
      <c r="J84" s="4">
        <v>102</v>
      </c>
      <c r="K84" s="4">
        <v>118</v>
      </c>
      <c r="L84" s="4">
        <v>105</v>
      </c>
      <c r="M84" s="4">
        <v>83</v>
      </c>
      <c r="N84" s="218">
        <f t="shared" si="7"/>
        <v>9.295713035870516</v>
      </c>
      <c r="O84" s="218">
        <f t="shared" si="7"/>
        <v>10.753864100320794</v>
      </c>
      <c r="P84" s="218">
        <f t="shared" si="7"/>
        <v>9.569116360454943</v>
      </c>
      <c r="Q84" s="218">
        <f t="shared" si="7"/>
        <v>7.564158646835812</v>
      </c>
      <c r="R84" s="218">
        <v>3618.1034482758623</v>
      </c>
      <c r="S84" s="218">
        <v>3851.724137931035</v>
      </c>
    </row>
    <row r="85" spans="1:19" ht="12.75">
      <c r="A85" t="s">
        <v>287</v>
      </c>
      <c r="B85" s="121">
        <v>4.2</v>
      </c>
      <c r="C85" s="121">
        <v>5.4</v>
      </c>
      <c r="D85" s="218">
        <v>1428</v>
      </c>
      <c r="I85" s="218">
        <f t="shared" si="6"/>
        <v>264.4444444444444</v>
      </c>
      <c r="J85" s="4">
        <v>155</v>
      </c>
      <c r="K85" s="4">
        <v>178</v>
      </c>
      <c r="L85" s="4">
        <v>160</v>
      </c>
      <c r="M85" s="4">
        <v>120</v>
      </c>
      <c r="N85" s="218">
        <f t="shared" si="7"/>
        <v>28.703703703703702</v>
      </c>
      <c r="O85" s="218">
        <f t="shared" si="7"/>
        <v>32.96296296296296</v>
      </c>
      <c r="P85" s="218">
        <f t="shared" si="7"/>
        <v>29.629629629629626</v>
      </c>
      <c r="Q85" s="218">
        <f t="shared" si="7"/>
        <v>22.22222222222222</v>
      </c>
      <c r="R85" s="218">
        <v>3618.1034482758623</v>
      </c>
      <c r="S85" s="218">
        <v>3851.724137931035</v>
      </c>
    </row>
    <row r="86" spans="1:19" ht="12.75">
      <c r="A86" t="s">
        <v>290</v>
      </c>
      <c r="B86" s="121">
        <v>3.6576</v>
      </c>
      <c r="C86" s="121">
        <v>9.4488</v>
      </c>
      <c r="D86" s="218">
        <v>1458.43</v>
      </c>
      <c r="I86" s="218">
        <f t="shared" si="6"/>
        <v>154.3508170349674</v>
      </c>
      <c r="J86" s="4">
        <v>161</v>
      </c>
      <c r="K86" s="4">
        <v>183</v>
      </c>
      <c r="L86" s="4">
        <v>168</v>
      </c>
      <c r="M86" s="4">
        <v>134</v>
      </c>
      <c r="N86" s="218">
        <f t="shared" si="7"/>
        <v>17.039200745068158</v>
      </c>
      <c r="O86" s="218">
        <f t="shared" si="7"/>
        <v>19.36753873507747</v>
      </c>
      <c r="P86" s="218">
        <f t="shared" si="7"/>
        <v>17.78003556007112</v>
      </c>
      <c r="Q86" s="218">
        <f t="shared" si="7"/>
        <v>14.181695030056726</v>
      </c>
      <c r="R86" s="218">
        <v>3618.1034482758623</v>
      </c>
      <c r="S86" s="218">
        <v>3851.724137931035</v>
      </c>
    </row>
    <row r="87" spans="1:19" ht="12.75">
      <c r="A87" t="s">
        <v>287</v>
      </c>
      <c r="B87" s="121">
        <v>4.1</v>
      </c>
      <c r="C87" s="121">
        <v>6</v>
      </c>
      <c r="D87" s="218">
        <v>1460</v>
      </c>
      <c r="I87" s="218">
        <f t="shared" si="6"/>
        <v>243.33333333333334</v>
      </c>
      <c r="J87" s="4">
        <v>227</v>
      </c>
      <c r="K87" s="4">
        <v>258</v>
      </c>
      <c r="L87" s="4">
        <v>240</v>
      </c>
      <c r="M87" s="4">
        <v>192</v>
      </c>
      <c r="N87" s="218">
        <f t="shared" si="7"/>
        <v>37.833333333333336</v>
      </c>
      <c r="O87" s="218">
        <f t="shared" si="7"/>
        <v>43</v>
      </c>
      <c r="P87" s="218">
        <f t="shared" si="7"/>
        <v>40</v>
      </c>
      <c r="Q87" s="218">
        <f t="shared" si="7"/>
        <v>32</v>
      </c>
      <c r="R87" s="218">
        <v>3618.1034482758623</v>
      </c>
      <c r="S87" s="218">
        <v>3851.724137931035</v>
      </c>
    </row>
    <row r="88" spans="1:19" ht="12.75">
      <c r="A88" t="s">
        <v>323</v>
      </c>
      <c r="B88" s="121">
        <v>4.15</v>
      </c>
      <c r="C88" s="121">
        <v>6</v>
      </c>
      <c r="D88" s="218">
        <v>1480</v>
      </c>
      <c r="I88" s="218">
        <f t="shared" si="6"/>
        <v>246.66666666666666</v>
      </c>
      <c r="J88" s="4">
        <v>186</v>
      </c>
      <c r="K88" s="4">
        <v>210</v>
      </c>
      <c r="L88" s="4">
        <v>195</v>
      </c>
      <c r="M88" s="4">
        <v>156</v>
      </c>
      <c r="N88" s="218">
        <f t="shared" si="7"/>
        <v>31</v>
      </c>
      <c r="O88" s="218">
        <f t="shared" si="7"/>
        <v>35</v>
      </c>
      <c r="P88" s="218">
        <f t="shared" si="7"/>
        <v>32.5</v>
      </c>
      <c r="Q88" s="218">
        <f t="shared" si="7"/>
        <v>26</v>
      </c>
      <c r="R88" s="218">
        <v>3618.1034482758623</v>
      </c>
      <c r="S88" s="218">
        <v>3851.724137931035</v>
      </c>
    </row>
    <row r="89" spans="1:19" ht="12.75">
      <c r="A89" t="s">
        <v>286</v>
      </c>
      <c r="B89" s="121">
        <v>4.27</v>
      </c>
      <c r="C89" s="121">
        <v>5.18</v>
      </c>
      <c r="D89" s="218">
        <v>1500</v>
      </c>
      <c r="I89" s="218">
        <f t="shared" si="6"/>
        <v>289.5752895752896</v>
      </c>
      <c r="J89" s="4">
        <v>253</v>
      </c>
      <c r="K89" s="4">
        <v>283</v>
      </c>
      <c r="L89" s="4">
        <v>270</v>
      </c>
      <c r="M89" s="4">
        <v>216</v>
      </c>
      <c r="N89" s="218">
        <f t="shared" si="7"/>
        <v>48.84169884169884</v>
      </c>
      <c r="O89" s="218">
        <f t="shared" si="7"/>
        <v>54.633204633204635</v>
      </c>
      <c r="P89" s="218">
        <f t="shared" si="7"/>
        <v>52.12355212355212</v>
      </c>
      <c r="Q89" s="218">
        <f t="shared" si="7"/>
        <v>41.698841698841704</v>
      </c>
      <c r="R89" s="218">
        <v>3618.1034482758623</v>
      </c>
      <c r="S89" s="218">
        <v>3851.724137931035</v>
      </c>
    </row>
    <row r="90" spans="1:19" ht="12.75">
      <c r="A90" t="s">
        <v>290</v>
      </c>
      <c r="B90" s="121">
        <v>3.9624</v>
      </c>
      <c r="C90" s="121">
        <v>7.9248</v>
      </c>
      <c r="D90" s="218">
        <v>1503.19</v>
      </c>
      <c r="I90" s="218">
        <f t="shared" si="6"/>
        <v>189.6817585301837</v>
      </c>
      <c r="J90" s="4">
        <v>249</v>
      </c>
      <c r="K90" s="4">
        <v>279</v>
      </c>
      <c r="L90" s="4">
        <v>266</v>
      </c>
      <c r="M90" s="4">
        <v>214</v>
      </c>
      <c r="N90" s="218">
        <f t="shared" si="7"/>
        <v>31.420351302241066</v>
      </c>
      <c r="O90" s="218">
        <f t="shared" si="7"/>
        <v>35.205935796486976</v>
      </c>
      <c r="P90" s="218">
        <f t="shared" si="7"/>
        <v>33.56551584898042</v>
      </c>
      <c r="Q90" s="218">
        <f t="shared" si="7"/>
        <v>27.003836058954167</v>
      </c>
      <c r="R90" s="218">
        <v>3618.1034482758623</v>
      </c>
      <c r="S90" s="218">
        <v>3851.724137931035</v>
      </c>
    </row>
    <row r="91" spans="1:19" ht="12.75">
      <c r="A91" t="s">
        <v>290</v>
      </c>
      <c r="B91" s="121">
        <v>3.3528000000000002</v>
      </c>
      <c r="C91" s="121">
        <v>12.4968</v>
      </c>
      <c r="D91" s="218">
        <v>1544.22</v>
      </c>
      <c r="I91" s="218">
        <f t="shared" si="6"/>
        <v>123.5692337238333</v>
      </c>
      <c r="J91" s="4">
        <v>332</v>
      </c>
      <c r="K91" s="4">
        <v>373</v>
      </c>
      <c r="L91" s="4">
        <v>359</v>
      </c>
      <c r="M91" s="4">
        <v>289</v>
      </c>
      <c r="N91" s="218">
        <f t="shared" si="7"/>
        <v>26.566801101081875</v>
      </c>
      <c r="O91" s="218">
        <f t="shared" si="7"/>
        <v>29.847640996095</v>
      </c>
      <c r="P91" s="218">
        <f t="shared" si="7"/>
        <v>28.727354202675883</v>
      </c>
      <c r="Q91" s="218">
        <f t="shared" si="7"/>
        <v>23.125920235580306</v>
      </c>
      <c r="R91" s="218">
        <v>3618.1034482758623</v>
      </c>
      <c r="S91" s="218">
        <v>3851.724137931035</v>
      </c>
    </row>
    <row r="92" spans="1:19" ht="12.75">
      <c r="A92" t="s">
        <v>287</v>
      </c>
      <c r="B92" s="121">
        <v>4.4</v>
      </c>
      <c r="C92" s="121">
        <v>5.4</v>
      </c>
      <c r="D92" s="218">
        <v>1546</v>
      </c>
      <c r="I92" s="218">
        <f t="shared" si="6"/>
        <v>286.2962962962963</v>
      </c>
      <c r="J92" s="4">
        <v>275</v>
      </c>
      <c r="K92" s="4">
        <v>303</v>
      </c>
      <c r="L92" s="4">
        <v>295</v>
      </c>
      <c r="M92" s="4">
        <v>237</v>
      </c>
      <c r="N92" s="218">
        <f t="shared" si="7"/>
        <v>50.925925925925924</v>
      </c>
      <c r="O92" s="218">
        <f t="shared" si="7"/>
        <v>56.11111111111111</v>
      </c>
      <c r="P92" s="218">
        <f t="shared" si="7"/>
        <v>54.629629629629626</v>
      </c>
      <c r="Q92" s="218">
        <f t="shared" si="7"/>
        <v>43.888888888888886</v>
      </c>
      <c r="R92" s="218">
        <v>3618.1034482758623</v>
      </c>
      <c r="S92" s="218">
        <v>3851.724137931035</v>
      </c>
    </row>
    <row r="93" spans="1:19" ht="12.75">
      <c r="A93" t="s">
        <v>287</v>
      </c>
      <c r="B93" s="121">
        <v>4.2</v>
      </c>
      <c r="C93" s="121">
        <v>6</v>
      </c>
      <c r="D93" s="218">
        <v>1566</v>
      </c>
      <c r="I93" s="218">
        <f t="shared" si="6"/>
        <v>261</v>
      </c>
      <c r="J93" s="4">
        <v>366</v>
      </c>
      <c r="K93" s="4">
        <v>409</v>
      </c>
      <c r="L93" s="4">
        <v>398</v>
      </c>
      <c r="M93" s="4">
        <v>321</v>
      </c>
      <c r="N93" s="218">
        <f t="shared" si="7"/>
        <v>61</v>
      </c>
      <c r="O93" s="218">
        <f t="shared" si="7"/>
        <v>68.16666666666667</v>
      </c>
      <c r="P93" s="218">
        <f t="shared" si="7"/>
        <v>66.33333333333333</v>
      </c>
      <c r="Q93" s="218">
        <f t="shared" si="7"/>
        <v>53.5</v>
      </c>
      <c r="R93" s="218">
        <v>3618.1034482758623</v>
      </c>
      <c r="S93" s="218">
        <v>3851.724137931035</v>
      </c>
    </row>
    <row r="94" spans="1:19" ht="12.75">
      <c r="A94" t="s">
        <v>290</v>
      </c>
      <c r="B94" s="121">
        <v>4.8768</v>
      </c>
      <c r="C94" s="121">
        <v>4.8768</v>
      </c>
      <c r="D94" s="218">
        <v>1585.25</v>
      </c>
      <c r="I94" s="218">
        <f t="shared" si="6"/>
        <v>325.0594652230971</v>
      </c>
      <c r="J94" s="4">
        <v>327</v>
      </c>
      <c r="K94" s="4">
        <v>364</v>
      </c>
      <c r="L94" s="4">
        <v>354</v>
      </c>
      <c r="M94" s="4">
        <v>285</v>
      </c>
      <c r="N94" s="218">
        <f t="shared" si="7"/>
        <v>67.05216535433071</v>
      </c>
      <c r="O94" s="218">
        <f t="shared" si="7"/>
        <v>74.63910761154855</v>
      </c>
      <c r="P94" s="218">
        <f t="shared" si="7"/>
        <v>72.58858267716535</v>
      </c>
      <c r="Q94" s="218">
        <f t="shared" si="7"/>
        <v>58.43996062992126</v>
      </c>
      <c r="R94" s="218">
        <v>3618.1034482758623</v>
      </c>
      <c r="S94" s="218">
        <v>3851.724137931035</v>
      </c>
    </row>
    <row r="95" spans="1:19" ht="12.75">
      <c r="A95" t="s">
        <v>286</v>
      </c>
      <c r="B95" s="121">
        <v>3.96</v>
      </c>
      <c r="C95" s="121">
        <v>6.71</v>
      </c>
      <c r="D95" s="218">
        <v>1600</v>
      </c>
      <c r="I95" s="218">
        <f t="shared" si="6"/>
        <v>238.45007451564828</v>
      </c>
      <c r="J95" s="4">
        <v>427</v>
      </c>
      <c r="K95" s="4">
        <v>479</v>
      </c>
      <c r="L95" s="4">
        <v>467</v>
      </c>
      <c r="M95" s="4">
        <v>378</v>
      </c>
      <c r="N95" s="218">
        <f t="shared" si="7"/>
        <v>63.63636363636364</v>
      </c>
      <c r="O95" s="218">
        <f t="shared" si="7"/>
        <v>71.3859910581222</v>
      </c>
      <c r="P95" s="218">
        <f t="shared" si="7"/>
        <v>69.59761549925484</v>
      </c>
      <c r="Q95" s="218">
        <f t="shared" si="7"/>
        <v>56.333830104321905</v>
      </c>
      <c r="R95" s="218">
        <v>3618.1034482758623</v>
      </c>
      <c r="S95" s="218">
        <v>3851.724137931035</v>
      </c>
    </row>
    <row r="96" spans="1:19" ht="12.75">
      <c r="A96" t="s">
        <v>290</v>
      </c>
      <c r="B96" s="121">
        <v>4.2672</v>
      </c>
      <c r="C96" s="121">
        <v>7.0104</v>
      </c>
      <c r="D96" s="218">
        <v>1615.09</v>
      </c>
      <c r="I96" s="218">
        <f t="shared" si="6"/>
        <v>230.3848567842063</v>
      </c>
      <c r="J96" s="4">
        <v>389</v>
      </c>
      <c r="K96" s="4">
        <v>430</v>
      </c>
      <c r="L96" s="4">
        <v>427</v>
      </c>
      <c r="M96" s="4">
        <v>344</v>
      </c>
      <c r="N96" s="218">
        <f t="shared" si="7"/>
        <v>55.488987789569784</v>
      </c>
      <c r="O96" s="218">
        <f t="shared" si="7"/>
        <v>61.33744151546274</v>
      </c>
      <c r="P96" s="218">
        <f t="shared" si="7"/>
        <v>60.90950587698277</v>
      </c>
      <c r="Q96" s="218">
        <f t="shared" si="7"/>
        <v>49.069953212370194</v>
      </c>
      <c r="R96" s="218">
        <v>3618.1034482758623</v>
      </c>
      <c r="S96" s="218">
        <v>3851.724137931035</v>
      </c>
    </row>
    <row r="97" spans="1:19" ht="12.75">
      <c r="A97" t="s">
        <v>290</v>
      </c>
      <c r="B97" s="121">
        <v>3.6576</v>
      </c>
      <c r="C97" s="121">
        <v>10.668</v>
      </c>
      <c r="D97" s="218">
        <v>1644.93</v>
      </c>
      <c r="I97" s="218">
        <f t="shared" si="6"/>
        <v>154.19291338582678</v>
      </c>
      <c r="J97" s="4">
        <v>509</v>
      </c>
      <c r="K97" s="4">
        <v>563</v>
      </c>
      <c r="L97" s="4">
        <v>563</v>
      </c>
      <c r="M97" s="4">
        <v>456</v>
      </c>
      <c r="N97" s="218">
        <f t="shared" si="7"/>
        <v>47.71278590176228</v>
      </c>
      <c r="O97" s="218">
        <f t="shared" si="7"/>
        <v>52.77465316835396</v>
      </c>
      <c r="P97" s="218">
        <f t="shared" si="7"/>
        <v>52.77465316835396</v>
      </c>
      <c r="Q97" s="218">
        <f t="shared" si="7"/>
        <v>42.744656917885266</v>
      </c>
      <c r="R97" s="218">
        <v>3618.1034482758623</v>
      </c>
      <c r="S97" s="218">
        <v>3851.724137931035</v>
      </c>
    </row>
    <row r="98" spans="1:19" ht="12.75">
      <c r="A98" t="s">
        <v>287</v>
      </c>
      <c r="B98" s="121">
        <v>4.5</v>
      </c>
      <c r="C98" s="121">
        <v>5.4</v>
      </c>
      <c r="D98" s="218">
        <v>1670</v>
      </c>
      <c r="I98" s="218">
        <f aca="true" t="shared" si="8" ref="I98:I129">D98/C98</f>
        <v>309.25925925925924</v>
      </c>
      <c r="J98" s="4">
        <v>493</v>
      </c>
      <c r="K98" s="4">
        <v>543</v>
      </c>
      <c r="L98" s="4">
        <v>548</v>
      </c>
      <c r="M98" s="4">
        <v>444</v>
      </c>
      <c r="N98" s="218">
        <f t="shared" si="7"/>
        <v>91.29629629629629</v>
      </c>
      <c r="O98" s="218">
        <f t="shared" si="7"/>
        <v>100.55555555555554</v>
      </c>
      <c r="P98" s="218">
        <f t="shared" si="7"/>
        <v>101.48148148148148</v>
      </c>
      <c r="Q98" s="218">
        <f t="shared" si="7"/>
        <v>82.22222222222221</v>
      </c>
      <c r="R98" s="218">
        <v>3618.1034482758623</v>
      </c>
      <c r="S98" s="218">
        <v>3851.724137931035</v>
      </c>
    </row>
    <row r="99" spans="1:19" ht="12.75">
      <c r="A99" t="s">
        <v>287</v>
      </c>
      <c r="B99" s="121">
        <v>4.4</v>
      </c>
      <c r="C99" s="121">
        <v>6</v>
      </c>
      <c r="D99" s="218">
        <v>1718</v>
      </c>
      <c r="I99" s="218">
        <f t="shared" si="8"/>
        <v>286.3333333333333</v>
      </c>
      <c r="J99" s="4">
        <v>635</v>
      </c>
      <c r="K99" s="4">
        <v>698</v>
      </c>
      <c r="L99" s="4">
        <v>710</v>
      </c>
      <c r="M99" s="4">
        <v>577</v>
      </c>
      <c r="N99" s="218">
        <f t="shared" si="7"/>
        <v>105.83333333333333</v>
      </c>
      <c r="O99" s="218">
        <f t="shared" si="7"/>
        <v>116.33333333333333</v>
      </c>
      <c r="P99" s="218">
        <f t="shared" si="7"/>
        <v>118.33333333333333</v>
      </c>
      <c r="Q99" s="218">
        <f t="shared" si="7"/>
        <v>96.16666666666667</v>
      </c>
      <c r="R99" s="218">
        <v>3618.1034482758623</v>
      </c>
      <c r="S99" s="218">
        <v>3851.724137931035</v>
      </c>
    </row>
    <row r="100" spans="1:19" ht="12.75">
      <c r="A100" t="s">
        <v>290</v>
      </c>
      <c r="B100" s="121">
        <v>3.9624</v>
      </c>
      <c r="C100" s="121">
        <v>9.144</v>
      </c>
      <c r="D100" s="218">
        <v>1734.45</v>
      </c>
      <c r="I100" s="218">
        <f t="shared" si="8"/>
        <v>189.68175853018374</v>
      </c>
      <c r="J100" s="4">
        <v>662</v>
      </c>
      <c r="K100" s="4">
        <v>723</v>
      </c>
      <c r="L100" s="4">
        <v>748</v>
      </c>
      <c r="M100" s="4">
        <v>608</v>
      </c>
      <c r="N100" s="218">
        <f t="shared" si="7"/>
        <v>72.39720034995625</v>
      </c>
      <c r="O100" s="218">
        <f t="shared" si="7"/>
        <v>79.06824146981627</v>
      </c>
      <c r="P100" s="218">
        <f t="shared" si="7"/>
        <v>81.80227471566054</v>
      </c>
      <c r="Q100" s="218">
        <f t="shared" si="7"/>
        <v>66.49168853893264</v>
      </c>
      <c r="R100" s="218">
        <v>3618.1034482758623</v>
      </c>
      <c r="S100" s="218">
        <v>3851.724137931035</v>
      </c>
    </row>
    <row r="101" spans="1:19" ht="12.75">
      <c r="A101" t="s">
        <v>287</v>
      </c>
      <c r="B101" s="121">
        <v>4.7</v>
      </c>
      <c r="C101" s="121">
        <v>5.4</v>
      </c>
      <c r="D101" s="218">
        <v>1789</v>
      </c>
      <c r="I101" s="218">
        <f t="shared" si="8"/>
        <v>331.29629629629625</v>
      </c>
      <c r="J101" s="4">
        <v>839</v>
      </c>
      <c r="K101" s="4">
        <v>912</v>
      </c>
      <c r="L101" s="4">
        <v>954</v>
      </c>
      <c r="M101" s="4">
        <v>777</v>
      </c>
      <c r="N101" s="218">
        <f t="shared" si="7"/>
        <v>155.37037037037035</v>
      </c>
      <c r="O101" s="218">
        <f t="shared" si="7"/>
        <v>168.88888888888889</v>
      </c>
      <c r="P101" s="218">
        <f t="shared" si="7"/>
        <v>176.66666666666666</v>
      </c>
      <c r="Q101" s="218">
        <f t="shared" si="7"/>
        <v>143.88888888888889</v>
      </c>
      <c r="R101" s="218">
        <v>3618.1034482758623</v>
      </c>
      <c r="S101" s="218">
        <v>3851.724137931035</v>
      </c>
    </row>
    <row r="102" spans="1:19" ht="12.75">
      <c r="A102" t="s">
        <v>290</v>
      </c>
      <c r="B102" s="121">
        <v>4.2672</v>
      </c>
      <c r="C102" s="121">
        <v>7.9248</v>
      </c>
      <c r="D102" s="218">
        <v>1827.7</v>
      </c>
      <c r="I102" s="218">
        <f t="shared" si="8"/>
        <v>230.63042600444174</v>
      </c>
      <c r="J102" s="4">
        <v>867</v>
      </c>
      <c r="K102" s="4">
        <v>943</v>
      </c>
      <c r="L102" s="4">
        <v>994</v>
      </c>
      <c r="M102" s="4">
        <v>811</v>
      </c>
      <c r="N102" s="218">
        <f aca="true" t="shared" si="9" ref="N102:Q121">J102/$C102</f>
        <v>109.40339188370685</v>
      </c>
      <c r="O102" s="218">
        <f t="shared" si="9"/>
        <v>118.99353926912981</v>
      </c>
      <c r="P102" s="218">
        <f t="shared" si="9"/>
        <v>125.42903290934787</v>
      </c>
      <c r="Q102" s="218">
        <f t="shared" si="9"/>
        <v>102.3369674944478</v>
      </c>
      <c r="R102" s="218">
        <v>3618.1034482758623</v>
      </c>
      <c r="S102" s="218">
        <v>3851.724137931035</v>
      </c>
    </row>
    <row r="103" spans="1:19" ht="12.75">
      <c r="A103" t="s">
        <v>290</v>
      </c>
      <c r="B103" s="121">
        <v>4.572</v>
      </c>
      <c r="C103" s="121">
        <v>6.7056000000000004</v>
      </c>
      <c r="D103" s="218">
        <v>1846.35</v>
      </c>
      <c r="I103" s="218">
        <f t="shared" si="8"/>
        <v>275.34448818897636</v>
      </c>
      <c r="J103" s="4">
        <v>1137</v>
      </c>
      <c r="K103" s="4">
        <v>1236</v>
      </c>
      <c r="L103" s="4">
        <v>1315</v>
      </c>
      <c r="M103" s="4">
        <v>1075</v>
      </c>
      <c r="N103" s="218">
        <f t="shared" si="9"/>
        <v>169.55977093772367</v>
      </c>
      <c r="O103" s="218">
        <f t="shared" si="9"/>
        <v>184.32355046528275</v>
      </c>
      <c r="P103" s="218">
        <f t="shared" si="9"/>
        <v>196.1047482701026</v>
      </c>
      <c r="Q103" s="218">
        <f t="shared" si="9"/>
        <v>160.31376759723216</v>
      </c>
      <c r="R103" s="218">
        <v>3618.1034482758623</v>
      </c>
      <c r="S103" s="218">
        <v>3851.724137931035</v>
      </c>
    </row>
    <row r="104" spans="1:19" ht="12.75">
      <c r="A104" t="s">
        <v>287</v>
      </c>
      <c r="B104" s="121">
        <v>4.5</v>
      </c>
      <c r="C104" s="121">
        <v>6</v>
      </c>
      <c r="D104" s="218">
        <v>1856</v>
      </c>
      <c r="I104" s="218">
        <f t="shared" si="8"/>
        <v>309.3333333333333</v>
      </c>
      <c r="J104" s="4">
        <v>1112</v>
      </c>
      <c r="K104" s="4">
        <v>1203</v>
      </c>
      <c r="L104" s="4">
        <v>1294</v>
      </c>
      <c r="M104" s="4">
        <v>1056</v>
      </c>
      <c r="N104" s="218">
        <f t="shared" si="9"/>
        <v>185.33333333333334</v>
      </c>
      <c r="O104" s="218">
        <f t="shared" si="9"/>
        <v>200.5</v>
      </c>
      <c r="P104" s="218">
        <f t="shared" si="9"/>
        <v>215.66666666666666</v>
      </c>
      <c r="Q104" s="218">
        <f t="shared" si="9"/>
        <v>176</v>
      </c>
      <c r="R104" s="218">
        <v>3618.1034482758623</v>
      </c>
      <c r="S104" s="218">
        <v>3851.724137931035</v>
      </c>
    </row>
    <row r="105" spans="1:19" ht="12.75">
      <c r="A105" t="s">
        <v>290</v>
      </c>
      <c r="B105" s="121">
        <v>4.8768</v>
      </c>
      <c r="C105" s="121">
        <v>5.7912</v>
      </c>
      <c r="D105" s="218">
        <v>1883.65</v>
      </c>
      <c r="I105" s="218">
        <f t="shared" si="8"/>
        <v>325.2607404337616</v>
      </c>
      <c r="J105" s="4">
        <v>1503</v>
      </c>
      <c r="K105" s="4">
        <v>1629</v>
      </c>
      <c r="L105" s="4">
        <v>1763</v>
      </c>
      <c r="M105" s="4">
        <v>1446</v>
      </c>
      <c r="N105" s="218">
        <f t="shared" si="9"/>
        <v>259.53170327393286</v>
      </c>
      <c r="O105" s="218">
        <f t="shared" si="9"/>
        <v>281.28885205138835</v>
      </c>
      <c r="P105" s="218">
        <f t="shared" si="9"/>
        <v>304.42740710042824</v>
      </c>
      <c r="Q105" s="218">
        <f t="shared" si="9"/>
        <v>249.68918358889348</v>
      </c>
      <c r="R105" s="218">
        <v>3618.1034482758623</v>
      </c>
      <c r="S105" s="218">
        <v>3851.724137931035</v>
      </c>
    </row>
    <row r="106" spans="1:19" ht="12.75">
      <c r="A106" t="s">
        <v>287</v>
      </c>
      <c r="B106" s="121">
        <v>4.4</v>
      </c>
      <c r="C106" s="121">
        <v>6.7</v>
      </c>
      <c r="D106" s="218">
        <v>1890</v>
      </c>
      <c r="I106" s="218">
        <f t="shared" si="8"/>
        <v>282.08955223880594</v>
      </c>
      <c r="J106" s="4">
        <v>1401</v>
      </c>
      <c r="K106" s="4">
        <v>1508</v>
      </c>
      <c r="L106" s="4">
        <v>1652</v>
      </c>
      <c r="M106" s="4">
        <v>1354</v>
      </c>
      <c r="N106" s="218">
        <f t="shared" si="9"/>
        <v>209.1044776119403</v>
      </c>
      <c r="O106" s="218">
        <f t="shared" si="9"/>
        <v>225.07462686567163</v>
      </c>
      <c r="P106" s="218">
        <f t="shared" si="9"/>
        <v>246.56716417910448</v>
      </c>
      <c r="Q106" s="218">
        <f t="shared" si="9"/>
        <v>202.08955223880596</v>
      </c>
      <c r="R106" s="218">
        <v>3618.1034482758623</v>
      </c>
      <c r="S106" s="218">
        <v>3851.724137931035</v>
      </c>
    </row>
    <row r="107" spans="1:19" ht="12.75">
      <c r="A107" t="s">
        <v>286</v>
      </c>
      <c r="B107" s="121">
        <v>4.57</v>
      </c>
      <c r="C107" s="121">
        <v>5.49</v>
      </c>
      <c r="D107" s="218">
        <v>1900</v>
      </c>
      <c r="I107" s="218">
        <f t="shared" si="8"/>
        <v>346.08378870673954</v>
      </c>
      <c r="J107" s="4">
        <v>1866</v>
      </c>
      <c r="K107" s="4">
        <v>2009</v>
      </c>
      <c r="L107" s="4">
        <v>2218</v>
      </c>
      <c r="M107" s="4">
        <v>1823</v>
      </c>
      <c r="N107" s="218">
        <f t="shared" si="9"/>
        <v>339.89071038251365</v>
      </c>
      <c r="O107" s="218">
        <f t="shared" si="9"/>
        <v>365.93806921675775</v>
      </c>
      <c r="P107" s="218">
        <f t="shared" si="9"/>
        <v>404.0072859744991</v>
      </c>
      <c r="Q107" s="218">
        <f t="shared" si="9"/>
        <v>332.0582877959927</v>
      </c>
      <c r="R107" s="218">
        <v>3618.1034482758623</v>
      </c>
      <c r="S107" s="218">
        <v>3851.724137931035</v>
      </c>
    </row>
    <row r="108" spans="1:19" ht="12.75">
      <c r="A108" t="s">
        <v>290</v>
      </c>
      <c r="B108" s="121">
        <v>5.1815999999999995</v>
      </c>
      <c r="C108" s="121">
        <v>5.1815999999999995</v>
      </c>
      <c r="D108" s="218">
        <v>1974.662</v>
      </c>
      <c r="I108" s="218">
        <f t="shared" si="8"/>
        <v>381.091168750965</v>
      </c>
      <c r="J108" s="4">
        <v>1738</v>
      </c>
      <c r="K108" s="4">
        <v>1864</v>
      </c>
      <c r="L108" s="4">
        <v>2076</v>
      </c>
      <c r="M108" s="4">
        <v>1705</v>
      </c>
      <c r="N108" s="218">
        <f t="shared" si="9"/>
        <v>335.417631619577</v>
      </c>
      <c r="O108" s="218">
        <f t="shared" si="9"/>
        <v>359.73444495908603</v>
      </c>
      <c r="P108" s="218">
        <f t="shared" si="9"/>
        <v>400.6484483557203</v>
      </c>
      <c r="Q108" s="218">
        <f t="shared" si="9"/>
        <v>329.04894241161037</v>
      </c>
      <c r="R108" s="218">
        <v>3618.1034482758623</v>
      </c>
      <c r="S108" s="218">
        <v>3851.724137931035</v>
      </c>
    </row>
    <row r="109" spans="1:19" ht="12.75">
      <c r="A109" t="s">
        <v>323</v>
      </c>
      <c r="B109" s="121">
        <v>4.5</v>
      </c>
      <c r="C109" s="121">
        <v>6.5</v>
      </c>
      <c r="D109" s="218">
        <v>1990</v>
      </c>
      <c r="I109" s="218">
        <f t="shared" si="8"/>
        <v>306.15384615384613</v>
      </c>
      <c r="J109" s="4">
        <v>2374</v>
      </c>
      <c r="K109" s="4">
        <v>2547</v>
      </c>
      <c r="L109" s="4">
        <v>5860</v>
      </c>
      <c r="M109" s="4">
        <v>2357</v>
      </c>
      <c r="N109" s="218">
        <f t="shared" si="9"/>
        <v>365.2307692307692</v>
      </c>
      <c r="O109" s="218">
        <f t="shared" si="9"/>
        <v>391.84615384615387</v>
      </c>
      <c r="P109" s="218">
        <f t="shared" si="9"/>
        <v>901.5384615384615</v>
      </c>
      <c r="Q109" s="218">
        <f t="shared" si="9"/>
        <v>362.61538461538464</v>
      </c>
      <c r="R109" s="218">
        <v>3618.1034482758623</v>
      </c>
      <c r="S109" s="218">
        <v>3851.724137931035</v>
      </c>
    </row>
    <row r="110" spans="1:19" ht="12.75">
      <c r="A110" t="s">
        <v>287</v>
      </c>
      <c r="B110" s="121">
        <v>4.7</v>
      </c>
      <c r="C110" s="121">
        <v>6</v>
      </c>
      <c r="D110" s="218">
        <v>1998</v>
      </c>
      <c r="I110" s="218">
        <f t="shared" si="8"/>
        <v>333</v>
      </c>
      <c r="J110" s="4">
        <v>2568</v>
      </c>
      <c r="K110" s="4">
        <v>2743</v>
      </c>
      <c r="L110" s="4">
        <v>3124</v>
      </c>
      <c r="M110" s="4">
        <v>2576</v>
      </c>
      <c r="N110" s="218">
        <f t="shared" si="9"/>
        <v>428</v>
      </c>
      <c r="O110" s="218">
        <f t="shared" si="9"/>
        <v>457.1666666666667</v>
      </c>
      <c r="P110" s="218">
        <f t="shared" si="9"/>
        <v>520.6666666666666</v>
      </c>
      <c r="Q110" s="218">
        <f t="shared" si="9"/>
        <v>429.3333333333333</v>
      </c>
      <c r="R110" s="218">
        <v>3618.1034482758623</v>
      </c>
      <c r="S110" s="218">
        <v>3851.724137931035</v>
      </c>
    </row>
    <row r="111" spans="1:19" ht="12.75">
      <c r="A111" t="s">
        <v>286</v>
      </c>
      <c r="B111" s="121">
        <v>4.27</v>
      </c>
      <c r="C111" s="121">
        <v>7.01</v>
      </c>
      <c r="D111" s="218">
        <v>2000</v>
      </c>
      <c r="I111" s="218">
        <f t="shared" si="8"/>
        <v>285.30670470756064</v>
      </c>
      <c r="J111" s="4">
        <v>3483</v>
      </c>
      <c r="K111" s="4">
        <v>3723</v>
      </c>
      <c r="L111" s="4">
        <v>4278</v>
      </c>
      <c r="M111" s="4">
        <v>3538</v>
      </c>
      <c r="N111" s="218">
        <f t="shared" si="9"/>
        <v>496.86162624821685</v>
      </c>
      <c r="O111" s="218">
        <f t="shared" si="9"/>
        <v>531.0984308131241</v>
      </c>
      <c r="P111" s="218">
        <f t="shared" si="9"/>
        <v>610.2710413694722</v>
      </c>
      <c r="Q111" s="218">
        <f t="shared" si="9"/>
        <v>504.70756062767475</v>
      </c>
      <c r="R111" s="218">
        <v>3618.1034482758623</v>
      </c>
      <c r="S111" s="218">
        <v>3851.724137931035</v>
      </c>
    </row>
    <row r="112" spans="1:19" ht="12.75">
      <c r="A112" t="s">
        <v>287</v>
      </c>
      <c r="B112" s="121">
        <v>4.5</v>
      </c>
      <c r="C112" s="121">
        <v>6.7</v>
      </c>
      <c r="D112" s="218">
        <v>2041</v>
      </c>
      <c r="I112" s="218">
        <f t="shared" si="8"/>
        <v>304.6268656716418</v>
      </c>
      <c r="J112" s="4">
        <v>3362</v>
      </c>
      <c r="K112" s="4">
        <v>3573</v>
      </c>
      <c r="L112" s="4">
        <v>4161</v>
      </c>
      <c r="M112" s="4">
        <v>3440</v>
      </c>
      <c r="N112" s="218">
        <f t="shared" si="9"/>
        <v>501.7910447761194</v>
      </c>
      <c r="O112" s="218">
        <f t="shared" si="9"/>
        <v>533.2835820895522</v>
      </c>
      <c r="P112" s="218">
        <f t="shared" si="9"/>
        <v>621.044776119403</v>
      </c>
      <c r="Q112" s="218">
        <f t="shared" si="9"/>
        <v>513.4328358208955</v>
      </c>
      <c r="R112" s="218">
        <v>3618.1034482758623</v>
      </c>
      <c r="S112" s="218">
        <v>3851.724137931035</v>
      </c>
    </row>
    <row r="113" spans="1:19" ht="12.75">
      <c r="A113" t="s">
        <v>290</v>
      </c>
      <c r="B113" s="121">
        <v>3.6576</v>
      </c>
      <c r="C113" s="121">
        <v>13.716</v>
      </c>
      <c r="D113" s="218">
        <v>2114.91</v>
      </c>
      <c r="I113" s="218">
        <f t="shared" si="8"/>
        <v>154.19291338582676</v>
      </c>
      <c r="J113" s="4">
        <v>4377</v>
      </c>
      <c r="K113" s="4">
        <v>4653</v>
      </c>
      <c r="L113" s="4">
        <v>5457</v>
      </c>
      <c r="M113" s="4">
        <v>4521</v>
      </c>
      <c r="N113" s="218">
        <f t="shared" si="9"/>
        <v>319.11636045494316</v>
      </c>
      <c r="O113" s="218">
        <f t="shared" si="9"/>
        <v>339.23884514435696</v>
      </c>
      <c r="P113" s="218">
        <f t="shared" si="9"/>
        <v>397.8565179352581</v>
      </c>
      <c r="Q113" s="218">
        <f t="shared" si="9"/>
        <v>329.61504811898516</v>
      </c>
      <c r="R113" s="218">
        <v>3618.1034482758623</v>
      </c>
      <c r="S113" s="218">
        <v>3851.724137931035</v>
      </c>
    </row>
    <row r="114" spans="1:19" ht="12.75">
      <c r="A114" t="s">
        <v>287</v>
      </c>
      <c r="B114" s="121">
        <v>4.8</v>
      </c>
      <c r="C114" s="121">
        <v>6</v>
      </c>
      <c r="D114" s="218">
        <v>2147</v>
      </c>
      <c r="I114" s="218">
        <f t="shared" si="8"/>
        <v>357.8333333333333</v>
      </c>
      <c r="J114" s="4">
        <v>322</v>
      </c>
      <c r="K114" s="4">
        <v>358</v>
      </c>
      <c r="L114" s="4">
        <v>354</v>
      </c>
      <c r="M114" s="4">
        <v>285</v>
      </c>
      <c r="N114" s="218">
        <f t="shared" si="9"/>
        <v>53.666666666666664</v>
      </c>
      <c r="O114" s="218">
        <f t="shared" si="9"/>
        <v>59.666666666666664</v>
      </c>
      <c r="P114" s="218">
        <f t="shared" si="9"/>
        <v>59</v>
      </c>
      <c r="Q114" s="218">
        <f t="shared" si="9"/>
        <v>47.5</v>
      </c>
      <c r="R114" s="218">
        <v>3618.1034482758623</v>
      </c>
      <c r="S114" s="218">
        <v>3851.724137931035</v>
      </c>
    </row>
    <row r="115" spans="1:19" ht="12.75">
      <c r="A115" t="s">
        <v>287</v>
      </c>
      <c r="B115" s="121">
        <v>4.7</v>
      </c>
      <c r="C115" s="121">
        <v>6.7</v>
      </c>
      <c r="D115" s="218">
        <v>2198</v>
      </c>
      <c r="I115" s="218">
        <f t="shared" si="8"/>
        <v>328.05970149253733</v>
      </c>
      <c r="J115" s="4">
        <v>713</v>
      </c>
      <c r="K115" s="4">
        <v>780</v>
      </c>
      <c r="L115" s="4">
        <v>801</v>
      </c>
      <c r="M115" s="4">
        <v>651</v>
      </c>
      <c r="N115" s="218">
        <f t="shared" si="9"/>
        <v>106.41791044776119</v>
      </c>
      <c r="O115" s="218">
        <f t="shared" si="9"/>
        <v>116.41791044776119</v>
      </c>
      <c r="P115" s="218">
        <f t="shared" si="9"/>
        <v>119.55223880597015</v>
      </c>
      <c r="Q115" s="218">
        <f t="shared" si="9"/>
        <v>97.16417910447761</v>
      </c>
      <c r="R115" s="218">
        <v>3618.1034482758623</v>
      </c>
      <c r="S115" s="218">
        <v>3851.724137931035</v>
      </c>
    </row>
    <row r="116" spans="1:19" ht="12.75">
      <c r="A116" t="s">
        <v>290</v>
      </c>
      <c r="B116" s="121">
        <v>3.9624</v>
      </c>
      <c r="C116" s="121">
        <v>11.8872</v>
      </c>
      <c r="D116" s="218">
        <v>2252.92</v>
      </c>
      <c r="I116" s="218">
        <f t="shared" si="8"/>
        <v>189.5248670839222</v>
      </c>
      <c r="J116" s="4">
        <v>918</v>
      </c>
      <c r="K116" s="4">
        <v>1013</v>
      </c>
      <c r="L116" s="4">
        <v>1048</v>
      </c>
      <c r="M116" s="4">
        <v>855</v>
      </c>
      <c r="N116" s="218">
        <f t="shared" si="9"/>
        <v>77.2259236826166</v>
      </c>
      <c r="O116" s="218">
        <f t="shared" si="9"/>
        <v>85.21771317046908</v>
      </c>
      <c r="P116" s="218">
        <f t="shared" si="9"/>
        <v>88.16205666599367</v>
      </c>
      <c r="Q116" s="218">
        <f t="shared" si="9"/>
        <v>71.92610539067232</v>
      </c>
      <c r="R116" s="218">
        <v>3618.1034482758623</v>
      </c>
      <c r="S116" s="218">
        <v>3851.724137931035</v>
      </c>
    </row>
    <row r="117" spans="1:19" ht="12.75">
      <c r="A117" t="s">
        <v>290</v>
      </c>
      <c r="B117" s="121">
        <v>3.6576</v>
      </c>
      <c r="C117" s="121">
        <v>14.6304</v>
      </c>
      <c r="D117" s="218">
        <v>2256.65</v>
      </c>
      <c r="I117" s="218">
        <f t="shared" si="8"/>
        <v>154.24390310586176</v>
      </c>
      <c r="J117" s="4">
        <v>1283</v>
      </c>
      <c r="K117" s="4">
        <v>1416</v>
      </c>
      <c r="L117" s="4">
        <v>1516</v>
      </c>
      <c r="M117" s="4">
        <v>1242</v>
      </c>
      <c r="N117" s="218">
        <f t="shared" si="9"/>
        <v>87.69411636045494</v>
      </c>
      <c r="O117" s="218">
        <f t="shared" si="9"/>
        <v>96.78477690288715</v>
      </c>
      <c r="P117" s="218">
        <f t="shared" si="9"/>
        <v>103.61986001749781</v>
      </c>
      <c r="Q117" s="218">
        <f t="shared" si="9"/>
        <v>84.89173228346456</v>
      </c>
      <c r="R117" s="218">
        <v>3618.1034482758623</v>
      </c>
      <c r="S117" s="218">
        <v>3851.724137931035</v>
      </c>
    </row>
    <row r="118" spans="1:19" ht="12.75">
      <c r="A118" t="s">
        <v>323</v>
      </c>
      <c r="B118" s="121">
        <v>4.9</v>
      </c>
      <c r="C118" s="121">
        <v>6</v>
      </c>
      <c r="D118" s="218">
        <v>2280</v>
      </c>
      <c r="I118" s="218">
        <f t="shared" si="8"/>
        <v>380</v>
      </c>
      <c r="J118" s="4">
        <v>527</v>
      </c>
      <c r="K118" s="4">
        <v>578</v>
      </c>
      <c r="L118" s="4">
        <v>593</v>
      </c>
      <c r="M118" s="4">
        <v>481</v>
      </c>
      <c r="N118" s="218">
        <f t="shared" si="9"/>
        <v>87.83333333333333</v>
      </c>
      <c r="O118" s="218">
        <f t="shared" si="9"/>
        <v>96.33333333333333</v>
      </c>
      <c r="P118" s="218">
        <f t="shared" si="9"/>
        <v>98.83333333333333</v>
      </c>
      <c r="Q118" s="218">
        <f t="shared" si="9"/>
        <v>80.16666666666667</v>
      </c>
      <c r="R118" s="218">
        <v>3618.1034482758623</v>
      </c>
      <c r="S118" s="218">
        <v>3851.724137931035</v>
      </c>
    </row>
    <row r="119" spans="1:19" ht="12.75">
      <c r="A119" t="s">
        <v>287</v>
      </c>
      <c r="B119" s="121">
        <v>5</v>
      </c>
      <c r="C119" s="121">
        <v>6</v>
      </c>
      <c r="D119" s="218">
        <v>2301</v>
      </c>
      <c r="I119" s="218">
        <f t="shared" si="8"/>
        <v>383.5</v>
      </c>
      <c r="J119" s="4">
        <v>1097</v>
      </c>
      <c r="K119" s="4">
        <v>1195</v>
      </c>
      <c r="L119" s="4">
        <v>1262</v>
      </c>
      <c r="M119" s="4">
        <v>1032</v>
      </c>
      <c r="N119" s="218">
        <f t="shared" si="9"/>
        <v>182.83333333333334</v>
      </c>
      <c r="O119" s="218">
        <f t="shared" si="9"/>
        <v>199.16666666666666</v>
      </c>
      <c r="P119" s="218">
        <f t="shared" si="9"/>
        <v>210.33333333333334</v>
      </c>
      <c r="Q119" s="218">
        <f t="shared" si="9"/>
        <v>172</v>
      </c>
      <c r="R119" s="218">
        <v>3618.1034482758623</v>
      </c>
      <c r="S119" s="218">
        <v>3851.724137931035</v>
      </c>
    </row>
    <row r="120" spans="1:19" ht="12.75">
      <c r="A120" t="s">
        <v>290</v>
      </c>
      <c r="B120" s="121">
        <v>4.2672</v>
      </c>
      <c r="C120" s="121">
        <v>10.0584</v>
      </c>
      <c r="D120" s="218">
        <v>2320.06</v>
      </c>
      <c r="I120" s="218">
        <f t="shared" si="8"/>
        <v>230.65895172194382</v>
      </c>
      <c r="J120" s="4">
        <v>1604</v>
      </c>
      <c r="K120" s="4">
        <v>1753</v>
      </c>
      <c r="L120" s="4">
        <v>1894</v>
      </c>
      <c r="M120" s="4">
        <v>1555</v>
      </c>
      <c r="N120" s="218">
        <f t="shared" si="9"/>
        <v>159.46870277578938</v>
      </c>
      <c r="O120" s="218">
        <f t="shared" si="9"/>
        <v>174.28219199872743</v>
      </c>
      <c r="P120" s="218">
        <f t="shared" si="9"/>
        <v>188.30032609560166</v>
      </c>
      <c r="Q120" s="218">
        <f t="shared" si="9"/>
        <v>154.59715262864867</v>
      </c>
      <c r="R120" s="218">
        <v>3618.1034482758623</v>
      </c>
      <c r="S120" s="218">
        <v>3851.724137931035</v>
      </c>
    </row>
    <row r="121" spans="1:19" ht="12.75">
      <c r="A121" t="s">
        <v>287</v>
      </c>
      <c r="B121" s="121">
        <v>4.8</v>
      </c>
      <c r="C121" s="121">
        <v>6.7</v>
      </c>
      <c r="D121" s="218">
        <v>2363</v>
      </c>
      <c r="I121" s="218">
        <f t="shared" si="8"/>
        <v>352.6865671641791</v>
      </c>
      <c r="J121" s="4">
        <v>1800</v>
      </c>
      <c r="K121" s="4">
        <v>1963</v>
      </c>
      <c r="L121" s="4">
        <v>2150</v>
      </c>
      <c r="M121" s="4">
        <v>1767</v>
      </c>
      <c r="N121" s="218">
        <f t="shared" si="9"/>
        <v>268.65671641791045</v>
      </c>
      <c r="O121" s="218">
        <f t="shared" si="9"/>
        <v>292.98507462686564</v>
      </c>
      <c r="P121" s="218">
        <f t="shared" si="9"/>
        <v>320.8955223880597</v>
      </c>
      <c r="Q121" s="218">
        <f t="shared" si="9"/>
        <v>263.7313432835821</v>
      </c>
      <c r="R121" s="218">
        <v>3618.1034482758623</v>
      </c>
      <c r="S121" s="218">
        <v>3851.724137931035</v>
      </c>
    </row>
    <row r="122" spans="1:19" ht="12.75">
      <c r="A122" t="s">
        <v>290</v>
      </c>
      <c r="B122" s="121">
        <v>4.572</v>
      </c>
      <c r="C122" s="121">
        <v>8.8392</v>
      </c>
      <c r="D122" s="218">
        <v>2431.96</v>
      </c>
      <c r="I122" s="218">
        <f t="shared" si="8"/>
        <v>275.133496244004</v>
      </c>
      <c r="J122" s="4">
        <v>702</v>
      </c>
      <c r="K122" s="4">
        <v>763</v>
      </c>
      <c r="L122" s="4">
        <v>802</v>
      </c>
      <c r="M122" s="4">
        <v>652</v>
      </c>
      <c r="N122" s="218">
        <f aca="true" t="shared" si="10" ref="N122:Q141">J122/$C122</f>
        <v>79.41895194135216</v>
      </c>
      <c r="O122" s="218">
        <f t="shared" si="10"/>
        <v>86.32002896189701</v>
      </c>
      <c r="P122" s="218">
        <f t="shared" si="10"/>
        <v>90.73219295863879</v>
      </c>
      <c r="Q122" s="218">
        <f t="shared" si="10"/>
        <v>73.76233143270885</v>
      </c>
      <c r="R122" s="218">
        <v>3618.1034482758623</v>
      </c>
      <c r="S122" s="218">
        <v>3851.724137931035</v>
      </c>
    </row>
    <row r="123" spans="1:19" ht="12.75">
      <c r="A123" t="s">
        <v>287</v>
      </c>
      <c r="B123" s="121">
        <v>5.1</v>
      </c>
      <c r="C123" s="121">
        <v>6</v>
      </c>
      <c r="D123" s="218">
        <v>2461</v>
      </c>
      <c r="I123" s="218">
        <f t="shared" si="8"/>
        <v>410.1666666666667</v>
      </c>
      <c r="J123" s="4">
        <v>1137</v>
      </c>
      <c r="K123" s="4">
        <v>1238</v>
      </c>
      <c r="L123" s="4">
        <v>1315</v>
      </c>
      <c r="M123" s="4">
        <v>1075</v>
      </c>
      <c r="N123" s="218">
        <f t="shared" si="10"/>
        <v>189.5</v>
      </c>
      <c r="O123" s="218">
        <f t="shared" si="10"/>
        <v>206.33333333333334</v>
      </c>
      <c r="P123" s="218">
        <f t="shared" si="10"/>
        <v>219.16666666666666</v>
      </c>
      <c r="Q123" s="218">
        <f t="shared" si="10"/>
        <v>179.16666666666666</v>
      </c>
      <c r="R123" s="218">
        <v>3618.1034482758623</v>
      </c>
      <c r="S123" s="218">
        <v>3851.724137931035</v>
      </c>
    </row>
    <row r="124" spans="1:19" ht="12.75">
      <c r="A124" t="s">
        <v>290</v>
      </c>
      <c r="B124" s="121">
        <v>4.8768</v>
      </c>
      <c r="C124" s="121">
        <v>7.62</v>
      </c>
      <c r="D124" s="218">
        <v>2476.72</v>
      </c>
      <c r="I124" s="218">
        <f t="shared" si="8"/>
        <v>325.0288713910761</v>
      </c>
      <c r="J124" s="4">
        <v>1728</v>
      </c>
      <c r="K124" s="4">
        <v>1878</v>
      </c>
      <c r="L124" s="4">
        <v>2038</v>
      </c>
      <c r="M124" s="4">
        <v>1674</v>
      </c>
      <c r="N124" s="218">
        <f t="shared" si="10"/>
        <v>226.77165354330708</v>
      </c>
      <c r="O124" s="218">
        <f t="shared" si="10"/>
        <v>246.45669291338584</v>
      </c>
      <c r="P124" s="218">
        <f t="shared" si="10"/>
        <v>267.4540682414698</v>
      </c>
      <c r="Q124" s="218">
        <f t="shared" si="10"/>
        <v>219.68503937007873</v>
      </c>
      <c r="R124" s="218">
        <v>3618.1034482758623</v>
      </c>
      <c r="S124" s="218">
        <v>3851.724137931035</v>
      </c>
    </row>
    <row r="125" spans="1:19" ht="12.75">
      <c r="A125" t="s">
        <v>287</v>
      </c>
      <c r="B125" s="121">
        <v>5</v>
      </c>
      <c r="C125" s="121">
        <v>6.7</v>
      </c>
      <c r="D125" s="218">
        <v>2531</v>
      </c>
      <c r="I125" s="218">
        <f t="shared" si="8"/>
        <v>377.76119402985074</v>
      </c>
      <c r="J125" s="4">
        <v>1929</v>
      </c>
      <c r="K125" s="4">
        <v>2098</v>
      </c>
      <c r="L125" s="4">
        <v>2293</v>
      </c>
      <c r="M125" s="4">
        <v>1886</v>
      </c>
      <c r="N125" s="218">
        <f t="shared" si="10"/>
        <v>287.910447761194</v>
      </c>
      <c r="O125" s="218">
        <f t="shared" si="10"/>
        <v>313.13432835820896</v>
      </c>
      <c r="P125" s="218">
        <f t="shared" si="10"/>
        <v>342.23880597014926</v>
      </c>
      <c r="Q125" s="218">
        <f t="shared" si="10"/>
        <v>281.4925373134328</v>
      </c>
      <c r="R125" s="218">
        <v>3618.1034482758623</v>
      </c>
      <c r="S125" s="218">
        <v>3851.724137931035</v>
      </c>
    </row>
    <row r="126" spans="1:19" ht="12.75">
      <c r="A126" t="s">
        <v>287</v>
      </c>
      <c r="B126" s="121">
        <v>4.8</v>
      </c>
      <c r="C126" s="121">
        <v>7.3</v>
      </c>
      <c r="D126" s="218">
        <v>2577</v>
      </c>
      <c r="I126" s="218">
        <f t="shared" si="8"/>
        <v>353.013698630137</v>
      </c>
      <c r="J126" s="4">
        <v>2415</v>
      </c>
      <c r="K126" s="4">
        <v>2624</v>
      </c>
      <c r="L126" s="4">
        <v>2930</v>
      </c>
      <c r="M126" s="4">
        <v>2415</v>
      </c>
      <c r="N126" s="218">
        <f t="shared" si="10"/>
        <v>330.8219178082192</v>
      </c>
      <c r="O126" s="218">
        <f t="shared" si="10"/>
        <v>359.45205479452056</v>
      </c>
      <c r="P126" s="218">
        <f t="shared" si="10"/>
        <v>401.36986301369865</v>
      </c>
      <c r="Q126" s="218">
        <f t="shared" si="10"/>
        <v>330.8219178082192</v>
      </c>
      <c r="R126" s="218">
        <v>3618.1034482758623</v>
      </c>
      <c r="S126" s="218">
        <v>3851.724137931035</v>
      </c>
    </row>
    <row r="127" spans="1:19" ht="12.75">
      <c r="A127" t="s">
        <v>286</v>
      </c>
      <c r="B127" s="121">
        <v>4.57</v>
      </c>
      <c r="C127" s="121">
        <v>7.62</v>
      </c>
      <c r="D127" s="218">
        <v>2600</v>
      </c>
      <c r="I127" s="218">
        <f t="shared" si="8"/>
        <v>341.20734908136484</v>
      </c>
      <c r="J127" s="4">
        <v>2556</v>
      </c>
      <c r="K127" s="4">
        <v>2713</v>
      </c>
      <c r="L127" s="4">
        <v>3121</v>
      </c>
      <c r="M127" s="4">
        <v>2573</v>
      </c>
      <c r="N127" s="218">
        <f t="shared" si="10"/>
        <v>335.43307086614175</v>
      </c>
      <c r="O127" s="218">
        <f t="shared" si="10"/>
        <v>356.03674540682414</v>
      </c>
      <c r="P127" s="218">
        <f t="shared" si="10"/>
        <v>409.5800524934383</v>
      </c>
      <c r="Q127" s="218">
        <f t="shared" si="10"/>
        <v>337.6640419947507</v>
      </c>
      <c r="R127" s="218">
        <v>3618.1034482758623</v>
      </c>
      <c r="S127" s="218">
        <v>3851.724137931035</v>
      </c>
    </row>
    <row r="128" spans="1:19" ht="12.75">
      <c r="A128" t="s">
        <v>290</v>
      </c>
      <c r="B128" s="121">
        <v>3.9624</v>
      </c>
      <c r="C128" s="121">
        <v>13.716</v>
      </c>
      <c r="D128" s="218">
        <v>2659.49</v>
      </c>
      <c r="I128" s="218">
        <f t="shared" si="8"/>
        <v>193.89690871974335</v>
      </c>
      <c r="J128" s="4">
        <v>882</v>
      </c>
      <c r="K128" s="4">
        <v>959</v>
      </c>
      <c r="L128" s="4">
        <v>1021</v>
      </c>
      <c r="M128" s="4">
        <v>833</v>
      </c>
      <c r="N128" s="218">
        <f t="shared" si="10"/>
        <v>64.30446194225722</v>
      </c>
      <c r="O128" s="218">
        <f t="shared" si="10"/>
        <v>69.9183435403908</v>
      </c>
      <c r="P128" s="218">
        <f t="shared" si="10"/>
        <v>74.43861184018665</v>
      </c>
      <c r="Q128" s="218">
        <f t="shared" si="10"/>
        <v>60.73199183435404</v>
      </c>
      <c r="R128" s="218">
        <v>3618.1034482758623</v>
      </c>
      <c r="S128" s="218">
        <v>3851.724137931035</v>
      </c>
    </row>
    <row r="129" spans="1:19" ht="12.75">
      <c r="A129" t="s">
        <v>287</v>
      </c>
      <c r="B129" s="121">
        <v>5.1</v>
      </c>
      <c r="C129" s="121">
        <v>6.7</v>
      </c>
      <c r="D129" s="218">
        <v>2708</v>
      </c>
      <c r="I129" s="218">
        <f t="shared" si="8"/>
        <v>404.17910447761193</v>
      </c>
      <c r="J129" s="4">
        <v>1720</v>
      </c>
      <c r="K129" s="4">
        <v>1860</v>
      </c>
      <c r="L129" s="4">
        <v>2028</v>
      </c>
      <c r="M129" s="4">
        <v>1666</v>
      </c>
      <c r="N129" s="218">
        <f t="shared" si="10"/>
        <v>256.7164179104478</v>
      </c>
      <c r="O129" s="218">
        <f t="shared" si="10"/>
        <v>277.6119402985075</v>
      </c>
      <c r="P129" s="218">
        <f t="shared" si="10"/>
        <v>302.6865671641791</v>
      </c>
      <c r="Q129" s="218">
        <f t="shared" si="10"/>
        <v>248.65671641791045</v>
      </c>
      <c r="R129" s="218">
        <v>3618.1034482758623</v>
      </c>
      <c r="S129" s="218">
        <v>3851.724137931035</v>
      </c>
    </row>
    <row r="130" spans="1:19" ht="12.75">
      <c r="A130" t="s">
        <v>287</v>
      </c>
      <c r="B130" s="121">
        <v>5</v>
      </c>
      <c r="C130" s="121">
        <v>7.3</v>
      </c>
      <c r="D130" s="218">
        <v>2762</v>
      </c>
      <c r="I130" s="218">
        <f aca="true" t="shared" si="11" ref="I130:I155">D130/C130</f>
        <v>378.35616438356163</v>
      </c>
      <c r="J130" s="4">
        <v>1968</v>
      </c>
      <c r="K130" s="4">
        <v>2130</v>
      </c>
      <c r="L130" s="4">
        <v>2337</v>
      </c>
      <c r="M130" s="4">
        <v>1922</v>
      </c>
      <c r="N130" s="218">
        <f t="shared" si="10"/>
        <v>269.5890410958904</v>
      </c>
      <c r="O130" s="218">
        <f t="shared" si="10"/>
        <v>291.7808219178082</v>
      </c>
      <c r="P130" s="218">
        <f t="shared" si="10"/>
        <v>320.13698630136986</v>
      </c>
      <c r="Q130" s="218">
        <f t="shared" si="10"/>
        <v>263.28767123287673</v>
      </c>
      <c r="R130" s="218">
        <v>3618.1034482758623</v>
      </c>
      <c r="S130" s="218">
        <v>3851.724137931035</v>
      </c>
    </row>
    <row r="131" spans="1:19" ht="12.75">
      <c r="A131" t="s">
        <v>323</v>
      </c>
      <c r="B131" s="121">
        <v>5.3</v>
      </c>
      <c r="C131" s="121">
        <v>6</v>
      </c>
      <c r="D131" s="218">
        <v>2780</v>
      </c>
      <c r="I131" s="218">
        <f t="shared" si="11"/>
        <v>463.3333333333333</v>
      </c>
      <c r="J131" s="4">
        <v>2514</v>
      </c>
      <c r="K131" s="4">
        <v>2728</v>
      </c>
      <c r="L131" s="4">
        <v>3033</v>
      </c>
      <c r="M131" s="4">
        <v>2501</v>
      </c>
      <c r="N131" s="218">
        <f t="shared" si="10"/>
        <v>419</v>
      </c>
      <c r="O131" s="218">
        <f t="shared" si="10"/>
        <v>454.6666666666667</v>
      </c>
      <c r="P131" s="218">
        <f t="shared" si="10"/>
        <v>505.5</v>
      </c>
      <c r="Q131" s="218">
        <f t="shared" si="10"/>
        <v>416.8333333333333</v>
      </c>
      <c r="R131" s="218">
        <v>3618.1034482758623</v>
      </c>
      <c r="S131" s="218">
        <v>3851.724137931035</v>
      </c>
    </row>
    <row r="132" spans="1:19" ht="12.75">
      <c r="A132" t="s">
        <v>290</v>
      </c>
      <c r="B132" s="121">
        <v>4.2672</v>
      </c>
      <c r="C132" s="121">
        <v>12.192</v>
      </c>
      <c r="D132" s="218">
        <v>2808.69</v>
      </c>
      <c r="I132" s="218">
        <f t="shared" si="11"/>
        <v>230.37155511811025</v>
      </c>
      <c r="J132" s="4">
        <v>2865</v>
      </c>
      <c r="K132" s="4">
        <v>3099</v>
      </c>
      <c r="L132" s="4">
        <v>3496</v>
      </c>
      <c r="M132" s="4">
        <v>2886</v>
      </c>
      <c r="N132" s="218">
        <f t="shared" si="10"/>
        <v>234.99015748031496</v>
      </c>
      <c r="O132" s="218">
        <f t="shared" si="10"/>
        <v>254.18307086614172</v>
      </c>
      <c r="P132" s="218">
        <f t="shared" si="10"/>
        <v>286.745406824147</v>
      </c>
      <c r="Q132" s="218">
        <f t="shared" si="10"/>
        <v>236.71259842519686</v>
      </c>
      <c r="R132" s="218">
        <v>3618.1034482758623</v>
      </c>
      <c r="S132" s="218">
        <v>3851.724137931035</v>
      </c>
    </row>
    <row r="133" spans="1:19" ht="12.75">
      <c r="A133" t="s">
        <v>287</v>
      </c>
      <c r="B133" s="121">
        <v>5.3</v>
      </c>
      <c r="C133" s="121">
        <v>6.7</v>
      </c>
      <c r="D133" s="218">
        <v>2891</v>
      </c>
      <c r="I133" s="218">
        <f t="shared" si="11"/>
        <v>431.4925373134328</v>
      </c>
      <c r="J133" s="4">
        <v>3261</v>
      </c>
      <c r="K133" s="4">
        <v>3528</v>
      </c>
      <c r="L133" s="4">
        <v>4033</v>
      </c>
      <c r="M133" s="4">
        <v>3334</v>
      </c>
      <c r="N133" s="218">
        <f t="shared" si="10"/>
        <v>486.7164179104478</v>
      </c>
      <c r="O133" s="218">
        <f t="shared" si="10"/>
        <v>526.5671641791045</v>
      </c>
      <c r="P133" s="218">
        <f t="shared" si="10"/>
        <v>601.9402985074627</v>
      </c>
      <c r="Q133" s="218">
        <f t="shared" si="10"/>
        <v>497.6119402985075</v>
      </c>
      <c r="R133" s="218">
        <v>3618.1034482758623</v>
      </c>
      <c r="S133" s="218">
        <v>3851.724137931035</v>
      </c>
    </row>
    <row r="134" spans="1:19" ht="12.75">
      <c r="A134" t="s">
        <v>286</v>
      </c>
      <c r="B134" s="121">
        <v>5.03</v>
      </c>
      <c r="C134" s="121">
        <v>6.71</v>
      </c>
      <c r="D134" s="218">
        <v>2900</v>
      </c>
      <c r="I134" s="218">
        <f t="shared" si="11"/>
        <v>432.1907600596125</v>
      </c>
      <c r="J134" s="4">
        <v>1137</v>
      </c>
      <c r="K134" s="4">
        <v>1229</v>
      </c>
      <c r="L134" s="4">
        <v>1335</v>
      </c>
      <c r="M134" s="4">
        <v>1092</v>
      </c>
      <c r="N134" s="218">
        <f t="shared" si="10"/>
        <v>169.44858420268255</v>
      </c>
      <c r="O134" s="218">
        <f t="shared" si="10"/>
        <v>183.15946348733235</v>
      </c>
      <c r="P134" s="218">
        <f t="shared" si="10"/>
        <v>198.95678092399405</v>
      </c>
      <c r="Q134" s="218">
        <f t="shared" si="10"/>
        <v>162.74217585692995</v>
      </c>
      <c r="R134" s="218">
        <v>3618.1034482758623</v>
      </c>
      <c r="S134" s="218">
        <v>3851.724137931035</v>
      </c>
    </row>
    <row r="135" spans="1:19" ht="12.75">
      <c r="A135" t="s">
        <v>290</v>
      </c>
      <c r="B135" s="121">
        <v>4.572</v>
      </c>
      <c r="C135" s="121">
        <v>10.668</v>
      </c>
      <c r="D135" s="218">
        <v>2935.51</v>
      </c>
      <c r="I135" s="218">
        <f t="shared" si="11"/>
        <v>275.16966629171355</v>
      </c>
      <c r="J135" s="4">
        <v>1837</v>
      </c>
      <c r="K135" s="4">
        <v>1979</v>
      </c>
      <c r="L135" s="4">
        <v>2181</v>
      </c>
      <c r="M135" s="4">
        <v>1793</v>
      </c>
      <c r="N135" s="218">
        <f t="shared" si="10"/>
        <v>172.19722534683166</v>
      </c>
      <c r="O135" s="218">
        <f t="shared" si="10"/>
        <v>185.5080614923135</v>
      </c>
      <c r="P135" s="218">
        <f t="shared" si="10"/>
        <v>204.44319460067493</v>
      </c>
      <c r="Q135" s="218">
        <f t="shared" si="10"/>
        <v>168.0727409073866</v>
      </c>
      <c r="R135" s="218">
        <v>3618.1034482758623</v>
      </c>
      <c r="S135" s="218">
        <v>3851.724137931035</v>
      </c>
    </row>
    <row r="136" spans="1:19" ht="12.75">
      <c r="A136" t="s">
        <v>287</v>
      </c>
      <c r="B136" s="121">
        <v>5.1</v>
      </c>
      <c r="C136" s="121">
        <v>7.3</v>
      </c>
      <c r="D136" s="218">
        <v>2954</v>
      </c>
      <c r="I136" s="218">
        <f t="shared" si="11"/>
        <v>404.6575342465754</v>
      </c>
      <c r="J136" s="4">
        <v>2064</v>
      </c>
      <c r="K136" s="4">
        <v>2223</v>
      </c>
      <c r="L136" s="4">
        <v>2461</v>
      </c>
      <c r="M136" s="4">
        <v>2026</v>
      </c>
      <c r="N136" s="218">
        <f t="shared" si="10"/>
        <v>282.73972602739724</v>
      </c>
      <c r="O136" s="218">
        <f t="shared" si="10"/>
        <v>304.52054794520546</v>
      </c>
      <c r="P136" s="218">
        <f t="shared" si="10"/>
        <v>337.1232876712329</v>
      </c>
      <c r="Q136" s="218">
        <f t="shared" si="10"/>
        <v>277.5342465753425</v>
      </c>
      <c r="R136" s="218">
        <v>3618.1034482758623</v>
      </c>
      <c r="S136" s="218">
        <v>3851.724137931035</v>
      </c>
    </row>
    <row r="137" spans="1:19" ht="12.75">
      <c r="A137" t="s">
        <v>290</v>
      </c>
      <c r="B137" s="121">
        <v>4.8768</v>
      </c>
      <c r="C137" s="121">
        <v>9.144</v>
      </c>
      <c r="D137" s="218">
        <v>2972.81</v>
      </c>
      <c r="I137" s="218">
        <f t="shared" si="11"/>
        <v>325.1104549431321</v>
      </c>
      <c r="J137" s="4">
        <v>2588</v>
      </c>
      <c r="K137" s="4">
        <v>2780</v>
      </c>
      <c r="L137" s="4">
        <v>3120</v>
      </c>
      <c r="M137" s="4">
        <v>2573</v>
      </c>
      <c r="N137" s="218">
        <f t="shared" si="10"/>
        <v>283.02712160979877</v>
      </c>
      <c r="O137" s="218">
        <f t="shared" si="10"/>
        <v>304.02449693788276</v>
      </c>
      <c r="P137" s="218">
        <f t="shared" si="10"/>
        <v>341.20734908136484</v>
      </c>
      <c r="Q137" s="218">
        <f t="shared" si="10"/>
        <v>281.3867016622922</v>
      </c>
      <c r="R137" s="218">
        <v>3618.1034482758623</v>
      </c>
      <c r="S137" s="218">
        <v>3851.724137931035</v>
      </c>
    </row>
    <row r="138" spans="1:19" ht="12.75">
      <c r="A138" t="s">
        <v>290</v>
      </c>
      <c r="B138" s="121">
        <v>3.9624</v>
      </c>
      <c r="C138" s="121">
        <v>15.8496</v>
      </c>
      <c r="D138" s="218">
        <v>3006.38</v>
      </c>
      <c r="I138" s="218">
        <f t="shared" si="11"/>
        <v>189.6817585301837</v>
      </c>
      <c r="J138" s="4">
        <v>3096</v>
      </c>
      <c r="K138" s="4">
        <v>3338</v>
      </c>
      <c r="L138" s="4">
        <v>3774</v>
      </c>
      <c r="M138" s="4">
        <v>3118</v>
      </c>
      <c r="N138" s="218">
        <f t="shared" si="10"/>
        <v>195.33615990308903</v>
      </c>
      <c r="O138" s="218">
        <f t="shared" si="10"/>
        <v>210.60468402988087</v>
      </c>
      <c r="P138" s="218">
        <f t="shared" si="10"/>
        <v>238.11326468806783</v>
      </c>
      <c r="Q138" s="218">
        <f t="shared" si="10"/>
        <v>196.7242075509792</v>
      </c>
      <c r="R138" s="218">
        <v>3618.1034482758623</v>
      </c>
      <c r="S138" s="218">
        <v>3851.724137931035</v>
      </c>
    </row>
    <row r="139" spans="1:19" ht="12.75">
      <c r="A139" t="s">
        <v>290</v>
      </c>
      <c r="B139" s="121">
        <v>5.1815999999999995</v>
      </c>
      <c r="C139" s="121">
        <v>7.9248</v>
      </c>
      <c r="D139" s="218">
        <v>3021.3</v>
      </c>
      <c r="I139" s="218">
        <f t="shared" si="11"/>
        <v>381.2462144155058</v>
      </c>
      <c r="J139" s="4">
        <v>3660</v>
      </c>
      <c r="K139" s="4">
        <v>3943</v>
      </c>
      <c r="L139" s="4">
        <v>4523</v>
      </c>
      <c r="M139" s="4">
        <v>3742</v>
      </c>
      <c r="N139" s="218">
        <f t="shared" si="10"/>
        <v>461.8413082980012</v>
      </c>
      <c r="O139" s="218">
        <f t="shared" si="10"/>
        <v>497.55198869372094</v>
      </c>
      <c r="P139" s="218">
        <f t="shared" si="10"/>
        <v>570.7399555824752</v>
      </c>
      <c r="Q139" s="218">
        <f t="shared" si="10"/>
        <v>472.18857258227337</v>
      </c>
      <c r="R139" s="218">
        <v>3618.1034482758623</v>
      </c>
      <c r="S139" s="218">
        <v>3851.724137931035</v>
      </c>
    </row>
    <row r="140" spans="1:19" ht="12.75">
      <c r="A140" t="s">
        <v>287</v>
      </c>
      <c r="B140" s="121">
        <v>5.4</v>
      </c>
      <c r="C140" s="121">
        <v>6.7</v>
      </c>
      <c r="D140" s="218">
        <v>3078</v>
      </c>
      <c r="I140" s="218">
        <f t="shared" si="11"/>
        <v>459.4029850746268</v>
      </c>
      <c r="J140" s="4">
        <v>1429</v>
      </c>
      <c r="K140" s="4">
        <v>1533</v>
      </c>
      <c r="L140" s="4">
        <v>1699</v>
      </c>
      <c r="M140" s="4">
        <v>1393</v>
      </c>
      <c r="N140" s="218">
        <f t="shared" si="10"/>
        <v>213.28358208955223</v>
      </c>
      <c r="O140" s="218">
        <f t="shared" si="10"/>
        <v>228.80597014925374</v>
      </c>
      <c r="P140" s="218">
        <f t="shared" si="10"/>
        <v>253.5820895522388</v>
      </c>
      <c r="Q140" s="218">
        <f t="shared" si="10"/>
        <v>207.91044776119404</v>
      </c>
      <c r="R140" s="218">
        <v>3618.1034482758623</v>
      </c>
      <c r="S140" s="218">
        <v>3851.724137931035</v>
      </c>
    </row>
    <row r="141" spans="1:19" ht="12.75">
      <c r="A141" t="s">
        <v>287</v>
      </c>
      <c r="B141" s="121">
        <v>5.3</v>
      </c>
      <c r="C141" s="121">
        <v>7.3</v>
      </c>
      <c r="D141" s="218">
        <v>3153</v>
      </c>
      <c r="I141" s="218">
        <f t="shared" si="11"/>
        <v>431.9178082191781</v>
      </c>
      <c r="J141" s="4">
        <v>2074</v>
      </c>
      <c r="K141" s="4">
        <v>2228</v>
      </c>
      <c r="L141" s="4">
        <v>2486</v>
      </c>
      <c r="M141" s="4">
        <v>2046</v>
      </c>
      <c r="N141" s="218">
        <f t="shared" si="10"/>
        <v>284.1095890410959</v>
      </c>
      <c r="O141" s="218">
        <f t="shared" si="10"/>
        <v>305.2054794520548</v>
      </c>
      <c r="P141" s="218">
        <f t="shared" si="10"/>
        <v>340.54794520547944</v>
      </c>
      <c r="Q141" s="218">
        <f t="shared" si="10"/>
        <v>280.2739726027397</v>
      </c>
      <c r="R141" s="218">
        <v>3618.1034482758623</v>
      </c>
      <c r="S141" s="218">
        <v>3851.724137931035</v>
      </c>
    </row>
    <row r="142" spans="1:19" ht="12.75">
      <c r="A142" t="s">
        <v>287</v>
      </c>
      <c r="B142" s="121">
        <v>5.4</v>
      </c>
      <c r="C142" s="121">
        <v>7.3</v>
      </c>
      <c r="D142" s="218">
        <v>3358</v>
      </c>
      <c r="I142" s="218">
        <f t="shared" si="11"/>
        <v>460</v>
      </c>
      <c r="J142" s="4">
        <v>2700</v>
      </c>
      <c r="K142" s="4">
        <v>2898</v>
      </c>
      <c r="L142" s="4">
        <v>3267</v>
      </c>
      <c r="M142" s="4">
        <v>2695</v>
      </c>
      <c r="N142" s="218">
        <f aca="true" t="shared" si="12" ref="N142:Q155">J142/$C142</f>
        <v>369.86301369863014</v>
      </c>
      <c r="O142" s="218">
        <f t="shared" si="12"/>
        <v>396.98630136986304</v>
      </c>
      <c r="P142" s="218">
        <f t="shared" si="12"/>
        <v>447.5342465753425</v>
      </c>
      <c r="Q142" s="218">
        <f t="shared" si="12"/>
        <v>369.17808219178085</v>
      </c>
      <c r="R142" s="218">
        <v>3618.1034482758623</v>
      </c>
      <c r="S142" s="218">
        <v>3851.724137931035</v>
      </c>
    </row>
    <row r="143" spans="1:19" ht="12.75">
      <c r="A143" t="s">
        <v>290</v>
      </c>
      <c r="B143" s="121">
        <v>4.2672</v>
      </c>
      <c r="C143" s="121">
        <v>14.6304</v>
      </c>
      <c r="D143" s="218">
        <v>3371.92</v>
      </c>
      <c r="I143" s="218">
        <f t="shared" si="11"/>
        <v>230.47353455818023</v>
      </c>
      <c r="J143" s="4">
        <v>3227</v>
      </c>
      <c r="K143" s="4">
        <v>3463</v>
      </c>
      <c r="L143" s="4">
        <v>3937</v>
      </c>
      <c r="M143" s="4">
        <v>3253</v>
      </c>
      <c r="N143" s="218">
        <f t="shared" si="12"/>
        <v>220.56813210848645</v>
      </c>
      <c r="O143" s="218">
        <f t="shared" si="12"/>
        <v>236.69892825896764</v>
      </c>
      <c r="P143" s="218">
        <f t="shared" si="12"/>
        <v>269.09722222222223</v>
      </c>
      <c r="Q143" s="218">
        <f t="shared" si="12"/>
        <v>222.34525371828522</v>
      </c>
      <c r="R143" s="218">
        <v>3618.1034482758623</v>
      </c>
      <c r="S143" s="218">
        <v>3851.724137931035</v>
      </c>
    </row>
    <row r="144" spans="1:19" ht="12.75">
      <c r="A144" t="s">
        <v>287</v>
      </c>
      <c r="B144" s="121">
        <v>5.3</v>
      </c>
      <c r="C144" s="121">
        <v>7.9</v>
      </c>
      <c r="D144" s="218">
        <v>3416</v>
      </c>
      <c r="I144" s="218">
        <f t="shared" si="11"/>
        <v>432.40506329113924</v>
      </c>
      <c r="J144" s="4">
        <v>3911</v>
      </c>
      <c r="K144" s="4">
        <v>4192</v>
      </c>
      <c r="L144" s="4">
        <v>4829</v>
      </c>
      <c r="M144" s="4">
        <v>3997</v>
      </c>
      <c r="N144" s="218">
        <f t="shared" si="12"/>
        <v>495.0632911392405</v>
      </c>
      <c r="O144" s="218">
        <f t="shared" si="12"/>
        <v>530.632911392405</v>
      </c>
      <c r="P144" s="218">
        <f t="shared" si="12"/>
        <v>611.2658227848101</v>
      </c>
      <c r="Q144" s="218">
        <f t="shared" si="12"/>
        <v>505.9493670886076</v>
      </c>
      <c r="R144" s="218">
        <v>3618.1034482758623</v>
      </c>
      <c r="S144" s="218">
        <v>3851.724137931035</v>
      </c>
    </row>
    <row r="145" spans="1:19" ht="12.75">
      <c r="A145" t="s">
        <v>323</v>
      </c>
      <c r="B145" s="121">
        <v>5.3</v>
      </c>
      <c r="C145" s="121">
        <v>7.5</v>
      </c>
      <c r="D145" s="218">
        <v>3500</v>
      </c>
      <c r="I145" s="218">
        <f t="shared" si="11"/>
        <v>466.6666666666667</v>
      </c>
      <c r="J145" s="4">
        <v>4656</v>
      </c>
      <c r="K145" s="4">
        <v>4992</v>
      </c>
      <c r="L145" s="4">
        <v>5829</v>
      </c>
      <c r="M145" s="4">
        <v>4832</v>
      </c>
      <c r="N145" s="218">
        <f t="shared" si="12"/>
        <v>620.8</v>
      </c>
      <c r="O145" s="218">
        <f t="shared" si="12"/>
        <v>665.6</v>
      </c>
      <c r="P145" s="218">
        <f t="shared" si="12"/>
        <v>777.2</v>
      </c>
      <c r="Q145" s="218">
        <f t="shared" si="12"/>
        <v>644.2666666666667</v>
      </c>
      <c r="R145" s="218">
        <v>3618.1034482758623</v>
      </c>
      <c r="S145" s="218">
        <v>3851.724137931035</v>
      </c>
    </row>
    <row r="146" spans="1:19" ht="12.75">
      <c r="A146" t="s">
        <v>290</v>
      </c>
      <c r="B146" s="121">
        <v>4.572</v>
      </c>
      <c r="C146" s="121">
        <v>13.1064</v>
      </c>
      <c r="D146" s="218">
        <v>3606.91</v>
      </c>
      <c r="I146" s="218">
        <f t="shared" si="11"/>
        <v>275.2021912958554</v>
      </c>
      <c r="J146" s="4">
        <v>1781</v>
      </c>
      <c r="K146" s="4">
        <v>1909</v>
      </c>
      <c r="L146" s="4">
        <v>2145</v>
      </c>
      <c r="M146" s="4">
        <v>1763</v>
      </c>
      <c r="N146" s="218">
        <f t="shared" si="12"/>
        <v>135.887810535311</v>
      </c>
      <c r="O146" s="218">
        <f t="shared" si="12"/>
        <v>145.65403161814075</v>
      </c>
      <c r="P146" s="218">
        <f t="shared" si="12"/>
        <v>163.66050173960812</v>
      </c>
      <c r="Q146" s="218">
        <f t="shared" si="12"/>
        <v>134.51443569553805</v>
      </c>
      <c r="R146" s="218">
        <v>3618.1034482758623</v>
      </c>
      <c r="S146" s="218">
        <v>3851.724137931035</v>
      </c>
    </row>
    <row r="147" spans="1:19" ht="12.75">
      <c r="A147" t="s">
        <v>287</v>
      </c>
      <c r="B147" s="121">
        <v>5.4</v>
      </c>
      <c r="C147" s="121">
        <v>7.9</v>
      </c>
      <c r="D147" s="218">
        <v>3638</v>
      </c>
      <c r="I147" s="218">
        <f t="shared" si="11"/>
        <v>460.50632911392404</v>
      </c>
      <c r="J147" s="4">
        <v>2103</v>
      </c>
      <c r="K147" s="4">
        <v>2250</v>
      </c>
      <c r="L147" s="4">
        <v>2541</v>
      </c>
      <c r="M147" s="4">
        <v>2091</v>
      </c>
      <c r="N147" s="218">
        <f t="shared" si="12"/>
        <v>266.2025316455696</v>
      </c>
      <c r="O147" s="218">
        <f t="shared" si="12"/>
        <v>284.8101265822785</v>
      </c>
      <c r="P147" s="218">
        <f t="shared" si="12"/>
        <v>321.6455696202531</v>
      </c>
      <c r="Q147" s="218">
        <f t="shared" si="12"/>
        <v>264.6835443037975</v>
      </c>
      <c r="R147" s="218">
        <v>3618.1034482758623</v>
      </c>
      <c r="S147" s="218">
        <v>3851.724137931035</v>
      </c>
    </row>
    <row r="148" spans="1:19" ht="12.75">
      <c r="A148" t="s">
        <v>290</v>
      </c>
      <c r="B148" s="121">
        <v>4.8768</v>
      </c>
      <c r="C148" s="121">
        <v>11.2776</v>
      </c>
      <c r="D148" s="218">
        <v>3666.59</v>
      </c>
      <c r="I148" s="218">
        <f t="shared" si="11"/>
        <v>325.12147974746404</v>
      </c>
      <c r="J148" s="4">
        <v>2743</v>
      </c>
      <c r="K148" s="4">
        <v>2934</v>
      </c>
      <c r="L148" s="4">
        <v>3335</v>
      </c>
      <c r="M148" s="4">
        <v>2752</v>
      </c>
      <c r="N148" s="218">
        <f t="shared" si="12"/>
        <v>243.22550897354049</v>
      </c>
      <c r="O148" s="218">
        <f t="shared" si="12"/>
        <v>260.1617365396893</v>
      </c>
      <c r="P148" s="218">
        <f t="shared" si="12"/>
        <v>295.71894729375043</v>
      </c>
      <c r="Q148" s="218">
        <f t="shared" si="12"/>
        <v>244.0235511101653</v>
      </c>
      <c r="R148" s="218">
        <v>3618.1034482758623</v>
      </c>
      <c r="S148" s="218">
        <v>3851.724137931035</v>
      </c>
    </row>
    <row r="149" spans="1:19" ht="12.75">
      <c r="A149" t="s">
        <v>286</v>
      </c>
      <c r="B149" s="121">
        <v>5.49</v>
      </c>
      <c r="C149" s="121">
        <v>7.01</v>
      </c>
      <c r="D149" s="218">
        <v>3700</v>
      </c>
      <c r="I149" s="218">
        <f t="shared" si="11"/>
        <v>527.8174037089872</v>
      </c>
      <c r="J149" s="4">
        <v>3265</v>
      </c>
      <c r="K149" s="4">
        <v>3493</v>
      </c>
      <c r="L149" s="4">
        <v>3995</v>
      </c>
      <c r="M149" s="4">
        <v>3301</v>
      </c>
      <c r="N149" s="218">
        <f t="shared" si="12"/>
        <v>465.7631954350927</v>
      </c>
      <c r="O149" s="218">
        <f t="shared" si="12"/>
        <v>498.28815977175464</v>
      </c>
      <c r="P149" s="218">
        <f t="shared" si="12"/>
        <v>569.9001426533524</v>
      </c>
      <c r="Q149" s="218">
        <f t="shared" si="12"/>
        <v>470.8987161198288</v>
      </c>
      <c r="R149" s="218">
        <v>3618.1034482758623</v>
      </c>
      <c r="S149" s="218">
        <v>3851.724137931035</v>
      </c>
    </row>
    <row r="150" spans="1:19" ht="12.75">
      <c r="A150" t="s">
        <v>290</v>
      </c>
      <c r="B150" s="121">
        <v>5.1815999999999995</v>
      </c>
      <c r="C150" s="121">
        <v>10.0584</v>
      </c>
      <c r="D150" s="218">
        <v>3834.44</v>
      </c>
      <c r="I150" s="218">
        <f t="shared" si="11"/>
        <v>381.21768869800366</v>
      </c>
      <c r="J150" s="4">
        <v>3986</v>
      </c>
      <c r="K150" s="4">
        <v>4264</v>
      </c>
      <c r="L150" s="4">
        <v>4921</v>
      </c>
      <c r="M150" s="4">
        <v>4074</v>
      </c>
      <c r="N150" s="218">
        <f t="shared" si="12"/>
        <v>396.2856915612821</v>
      </c>
      <c r="O150" s="218">
        <f t="shared" si="12"/>
        <v>423.9242821919987</v>
      </c>
      <c r="P150" s="218">
        <f t="shared" si="12"/>
        <v>489.24282191998725</v>
      </c>
      <c r="Q150" s="218">
        <f t="shared" si="12"/>
        <v>405.03459794798374</v>
      </c>
      <c r="R150" s="218">
        <v>3618.1034482758623</v>
      </c>
      <c r="S150" s="218">
        <v>3851.724137931035</v>
      </c>
    </row>
    <row r="151" spans="1:19" ht="12.75">
      <c r="A151" t="s">
        <v>286</v>
      </c>
      <c r="B151" s="121">
        <v>5.03</v>
      </c>
      <c r="C151" s="121">
        <v>9.15</v>
      </c>
      <c r="D151" s="218">
        <v>3900</v>
      </c>
      <c r="I151" s="218">
        <f t="shared" si="11"/>
        <v>426.22950819672127</v>
      </c>
      <c r="J151" s="4">
        <v>4688</v>
      </c>
      <c r="K151" s="4">
        <v>5019</v>
      </c>
      <c r="L151" s="4">
        <v>5843</v>
      </c>
      <c r="M151" s="4">
        <v>4843</v>
      </c>
      <c r="N151" s="218">
        <f t="shared" si="12"/>
        <v>512.3497267759562</v>
      </c>
      <c r="O151" s="218">
        <f t="shared" si="12"/>
        <v>548.5245901639344</v>
      </c>
      <c r="P151" s="218">
        <f t="shared" si="12"/>
        <v>638.5792349726776</v>
      </c>
      <c r="Q151" s="218">
        <f t="shared" si="12"/>
        <v>529.2896174863388</v>
      </c>
      <c r="R151" s="218">
        <v>3618.1034482758623</v>
      </c>
      <c r="S151" s="218">
        <v>3851.724137931035</v>
      </c>
    </row>
    <row r="152" spans="1:19" ht="12.75">
      <c r="A152" t="s">
        <v>290</v>
      </c>
      <c r="B152" s="121">
        <v>4.572</v>
      </c>
      <c r="C152" s="121">
        <v>15.8496</v>
      </c>
      <c r="D152" s="218">
        <v>4360.37</v>
      </c>
      <c r="I152" s="218">
        <f t="shared" si="11"/>
        <v>275.1091510195841</v>
      </c>
      <c r="J152" s="4">
        <v>2175</v>
      </c>
      <c r="K152" s="4">
        <v>2320</v>
      </c>
      <c r="L152" s="4">
        <v>2650</v>
      </c>
      <c r="M152" s="4">
        <v>2182</v>
      </c>
      <c r="N152" s="218">
        <f t="shared" si="12"/>
        <v>137.2274379164143</v>
      </c>
      <c r="O152" s="218">
        <f t="shared" si="12"/>
        <v>146.37593377750858</v>
      </c>
      <c r="P152" s="218">
        <f t="shared" si="12"/>
        <v>167.1966484958611</v>
      </c>
      <c r="Q152" s="218">
        <f t="shared" si="12"/>
        <v>137.66908944074297</v>
      </c>
      <c r="R152" s="218">
        <v>3618.1034482758623</v>
      </c>
      <c r="S152" s="218">
        <v>3851.724137931035</v>
      </c>
    </row>
    <row r="153" spans="1:19" ht="12.75">
      <c r="A153" t="s">
        <v>290</v>
      </c>
      <c r="B153" s="121">
        <v>4.8768</v>
      </c>
      <c r="C153" s="121">
        <v>13.411200000000001</v>
      </c>
      <c r="D153" s="218">
        <v>4360.37</v>
      </c>
      <c r="I153" s="218">
        <f t="shared" si="11"/>
        <v>325.12899665950846</v>
      </c>
      <c r="J153" s="4">
        <v>3284</v>
      </c>
      <c r="K153" s="4">
        <v>3503</v>
      </c>
      <c r="L153" s="4">
        <v>4036</v>
      </c>
      <c r="M153" s="4">
        <v>336</v>
      </c>
      <c r="N153" s="218">
        <f t="shared" si="12"/>
        <v>244.86995943688856</v>
      </c>
      <c r="O153" s="218">
        <f t="shared" si="12"/>
        <v>261.1995943688857</v>
      </c>
      <c r="P153" s="218">
        <f t="shared" si="12"/>
        <v>300.94249582438556</v>
      </c>
      <c r="Q153" s="218">
        <f t="shared" si="12"/>
        <v>25.053686471009303</v>
      </c>
      <c r="R153" s="218">
        <v>3618.1034482758623</v>
      </c>
      <c r="S153" s="218">
        <v>3851.724137931035</v>
      </c>
    </row>
    <row r="154" spans="1:19" ht="12.75">
      <c r="A154" t="s">
        <v>286</v>
      </c>
      <c r="B154" s="121">
        <v>5.49</v>
      </c>
      <c r="C154" s="121">
        <v>9.15</v>
      </c>
      <c r="D154" s="218">
        <v>4500</v>
      </c>
      <c r="I154" s="218">
        <f t="shared" si="11"/>
        <v>491.8032786885246</v>
      </c>
      <c r="J154" s="4">
        <v>4130</v>
      </c>
      <c r="K154" s="4">
        <v>4409</v>
      </c>
      <c r="L154" s="4">
        <v>5117</v>
      </c>
      <c r="M154" s="4">
        <v>4237</v>
      </c>
      <c r="N154" s="218">
        <f t="shared" si="12"/>
        <v>451.3661202185792</v>
      </c>
      <c r="O154" s="218">
        <f t="shared" si="12"/>
        <v>481.85792349726773</v>
      </c>
      <c r="P154" s="218">
        <f t="shared" si="12"/>
        <v>559.2349726775956</v>
      </c>
      <c r="Q154" s="218">
        <f t="shared" si="12"/>
        <v>463.06010928961746</v>
      </c>
      <c r="R154" s="218">
        <v>3618.1034482758623</v>
      </c>
      <c r="S154" s="218">
        <v>3851.724137931035</v>
      </c>
    </row>
    <row r="155" spans="1:19" ht="12.75">
      <c r="A155" t="s">
        <v>290</v>
      </c>
      <c r="B155" s="121">
        <v>5.1815999999999995</v>
      </c>
      <c r="C155" s="121">
        <v>12.192</v>
      </c>
      <c r="D155" s="218">
        <v>4647.58</v>
      </c>
      <c r="I155" s="218">
        <f t="shared" si="11"/>
        <v>381.1991469816273</v>
      </c>
      <c r="J155" s="4">
        <v>4954</v>
      </c>
      <c r="K155" s="4">
        <v>5285</v>
      </c>
      <c r="L155" s="4">
        <v>6191</v>
      </c>
      <c r="M155" s="4">
        <v>5134</v>
      </c>
      <c r="N155" s="218">
        <f t="shared" si="12"/>
        <v>406.3320209973753</v>
      </c>
      <c r="O155" s="218">
        <f t="shared" si="12"/>
        <v>433.4809711286089</v>
      </c>
      <c r="P155" s="218">
        <f t="shared" si="12"/>
        <v>507.79199475065616</v>
      </c>
      <c r="Q155" s="218">
        <f t="shared" si="12"/>
        <v>421.09580052493436</v>
      </c>
      <c r="R155" s="218">
        <v>3618.1034482758623</v>
      </c>
      <c r="S155" s="218">
        <v>3851.724137931035</v>
      </c>
    </row>
    <row r="156" spans="1:5" ht="12.75">
      <c r="A156" t="s">
        <v>286</v>
      </c>
      <c r="B156" s="121">
        <v>5.48</v>
      </c>
      <c r="C156" s="4">
        <v>9.75</v>
      </c>
      <c r="D156" s="218">
        <v>4800</v>
      </c>
      <c r="E156" s="380">
        <v>35551</v>
      </c>
    </row>
    <row r="157" spans="1:6" ht="12.75">
      <c r="A157" t="s">
        <v>290</v>
      </c>
      <c r="B157" s="4">
        <v>3</v>
      </c>
      <c r="C157" s="4">
        <v>4</v>
      </c>
      <c r="D157" s="218">
        <v>500</v>
      </c>
      <c r="E157" s="380">
        <v>35674</v>
      </c>
      <c r="F157" s="420">
        <v>761000</v>
      </c>
    </row>
    <row r="158" spans="1:4" ht="12.75">
      <c r="A158" t="s">
        <v>286</v>
      </c>
      <c r="B158" s="4">
        <v>5.49</v>
      </c>
      <c r="C158" s="4">
        <v>9.15</v>
      </c>
      <c r="D158" s="218">
        <v>4500</v>
      </c>
    </row>
    <row r="159" spans="1:4" ht="12.75">
      <c r="A159" t="s">
        <v>290</v>
      </c>
      <c r="B159" s="4">
        <v>5.18</v>
      </c>
      <c r="C159" s="4">
        <v>12.9</v>
      </c>
      <c r="D159" s="218">
        <v>4648</v>
      </c>
    </row>
    <row r="160" spans="1:8" ht="12.75">
      <c r="A160" t="s">
        <v>291</v>
      </c>
      <c r="B160" s="4">
        <v>6.1</v>
      </c>
      <c r="C160" s="4">
        <v>10.36</v>
      </c>
      <c r="D160" s="218">
        <v>6800</v>
      </c>
      <c r="F160" s="420">
        <v>5780000</v>
      </c>
      <c r="G160" s="420">
        <v>270000</v>
      </c>
      <c r="H160" s="420">
        <v>610000</v>
      </c>
    </row>
    <row r="161" spans="1:8" ht="12.75">
      <c r="A161" t="s">
        <v>291</v>
      </c>
      <c r="B161" s="4">
        <v>5.03</v>
      </c>
      <c r="C161" s="4">
        <v>9.15</v>
      </c>
      <c r="D161" s="218">
        <v>4000</v>
      </c>
      <c r="F161" s="420">
        <v>4860000</v>
      </c>
      <c r="G161" s="420">
        <v>190000</v>
      </c>
      <c r="H161" s="420">
        <v>410000</v>
      </c>
    </row>
    <row r="162" spans="1:5" ht="12.75">
      <c r="A162" t="s">
        <v>291</v>
      </c>
      <c r="B162" s="4">
        <v>5.5</v>
      </c>
      <c r="C162" s="4">
        <v>7.9</v>
      </c>
      <c r="D162" s="218">
        <v>4300</v>
      </c>
      <c r="E162" s="218" t="s">
        <v>292</v>
      </c>
    </row>
    <row r="163" spans="1:5" ht="12.75">
      <c r="A163" t="s">
        <v>291</v>
      </c>
      <c r="B163" s="4">
        <v>4.7</v>
      </c>
      <c r="C163" s="4">
        <v>7.3</v>
      </c>
      <c r="D163" s="218">
        <v>2700</v>
      </c>
      <c r="E163" s="218" t="s">
        <v>292</v>
      </c>
    </row>
    <row r="164" spans="1:5" ht="12.75">
      <c r="A164" t="s">
        <v>291</v>
      </c>
      <c r="B164" s="4">
        <v>5</v>
      </c>
      <c r="C164" s="4">
        <v>8.2</v>
      </c>
      <c r="D164" s="218">
        <v>3500</v>
      </c>
      <c r="E164" s="218" t="s">
        <v>328</v>
      </c>
    </row>
    <row r="165" spans="1:4" ht="12.75">
      <c r="A165" t="s">
        <v>291</v>
      </c>
      <c r="B165" s="4">
        <v>4.7</v>
      </c>
      <c r="C165" s="4">
        <v>7</v>
      </c>
      <c r="D165" s="218">
        <v>2500</v>
      </c>
    </row>
    <row r="166" spans="1:5" ht="12.75">
      <c r="A166" t="s">
        <v>291</v>
      </c>
      <c r="B166" s="4">
        <v>5</v>
      </c>
      <c r="C166" s="4">
        <v>9.1</v>
      </c>
      <c r="D166" s="218">
        <v>4000</v>
      </c>
      <c r="E166" s="218" t="s">
        <v>329</v>
      </c>
    </row>
    <row r="167" spans="1:5" ht="12.75">
      <c r="A167" t="s">
        <v>330</v>
      </c>
      <c r="B167" s="4">
        <v>6.06</v>
      </c>
      <c r="D167" s="218">
        <v>6000</v>
      </c>
      <c r="E167" s="218" t="s">
        <v>331</v>
      </c>
    </row>
    <row r="168" spans="1:27" ht="12.75">
      <c r="A168" t="s">
        <v>288</v>
      </c>
      <c r="B168" s="4">
        <v>5.18</v>
      </c>
      <c r="C168" s="4">
        <v>12.19</v>
      </c>
      <c r="D168" s="218">
        <v>6000</v>
      </c>
      <c r="E168" s="218" t="s">
        <v>332</v>
      </c>
      <c r="F168" s="438">
        <f>5460000+235000+89000+169000</f>
        <v>5953000</v>
      </c>
      <c r="G168" s="438">
        <v>990500</v>
      </c>
      <c r="H168" s="438">
        <v>1754000</v>
      </c>
      <c r="I168" s="438"/>
      <c r="J168" s="438"/>
      <c r="K168" s="438"/>
      <c r="L168" s="438"/>
      <c r="M168" s="438"/>
      <c r="N168" s="438"/>
      <c r="O168" s="438"/>
      <c r="P168" s="438"/>
      <c r="Q168" s="438"/>
      <c r="R168" s="439"/>
      <c r="S168" s="439"/>
      <c r="T168" s="439"/>
      <c r="U168" s="439"/>
      <c r="V168" s="439"/>
      <c r="W168" s="439"/>
      <c r="X168" s="439"/>
      <c r="Y168" s="439"/>
      <c r="Z168" s="439"/>
      <c r="AA168" s="439"/>
    </row>
    <row r="169" spans="1:33" ht="12.75">
      <c r="A169" t="s">
        <v>287</v>
      </c>
      <c r="B169" s="4">
        <v>7.32</v>
      </c>
      <c r="C169" s="4">
        <v>10.52</v>
      </c>
      <c r="D169" s="218">
        <v>10444</v>
      </c>
      <c r="AE169" s="4" t="s">
        <v>333</v>
      </c>
      <c r="AF169" s="4" t="s">
        <v>297</v>
      </c>
      <c r="AG169" s="4">
        <v>97</v>
      </c>
    </row>
    <row r="170" spans="1:33" ht="12.75">
      <c r="A170" t="s">
        <v>287</v>
      </c>
      <c r="B170" s="4">
        <v>7.32</v>
      </c>
      <c r="C170" s="4">
        <v>9.32</v>
      </c>
      <c r="D170" s="218">
        <v>10444</v>
      </c>
      <c r="F170"/>
      <c r="G170"/>
      <c r="H170"/>
      <c r="I170"/>
      <c r="J170"/>
      <c r="K170"/>
      <c r="L170"/>
      <c r="AA170" s="218"/>
      <c r="AB170" s="218"/>
      <c r="AC170" s="218"/>
      <c r="AD170" s="218"/>
      <c r="AE170" s="4" t="s">
        <v>334</v>
      </c>
      <c r="AF170" s="4" t="s">
        <v>296</v>
      </c>
      <c r="AG170" s="4">
        <v>96</v>
      </c>
    </row>
    <row r="171" spans="1:33" ht="12.75">
      <c r="A171" t="s">
        <v>287</v>
      </c>
      <c r="B171" s="4">
        <v>6.71</v>
      </c>
      <c r="C171" s="4">
        <v>8.1</v>
      </c>
      <c r="D171" s="218">
        <v>6700</v>
      </c>
      <c r="F171"/>
      <c r="G171"/>
      <c r="H171"/>
      <c r="I171"/>
      <c r="J171"/>
      <c r="K171"/>
      <c r="L171"/>
      <c r="AA171" s="218"/>
      <c r="AB171" s="218"/>
      <c r="AC171" s="218"/>
      <c r="AD171" s="218"/>
      <c r="AE171" s="4" t="s">
        <v>335</v>
      </c>
      <c r="AF171" s="4" t="s">
        <v>336</v>
      </c>
      <c r="AG171" s="4">
        <v>97</v>
      </c>
    </row>
    <row r="172" spans="1:33" ht="12.75">
      <c r="A172" t="s">
        <v>287</v>
      </c>
      <c r="B172" s="4">
        <v>6.71</v>
      </c>
      <c r="C172" s="4">
        <v>11.1</v>
      </c>
      <c r="D172" s="218">
        <v>8750</v>
      </c>
      <c r="F172"/>
      <c r="G172"/>
      <c r="H172"/>
      <c r="I172"/>
      <c r="J172"/>
      <c r="K172"/>
      <c r="L172"/>
      <c r="AA172" s="218"/>
      <c r="AB172" s="218"/>
      <c r="AC172" s="218"/>
      <c r="AD172" s="218"/>
      <c r="AE172" s="4" t="s">
        <v>337</v>
      </c>
      <c r="AF172" s="4" t="s">
        <v>295</v>
      </c>
      <c r="AG172" s="4">
        <v>96</v>
      </c>
    </row>
    <row r="173" spans="1:33" ht="12.75">
      <c r="A173" t="s">
        <v>287</v>
      </c>
      <c r="B173" s="4">
        <v>6.71</v>
      </c>
      <c r="C173" s="4">
        <v>11.1</v>
      </c>
      <c r="D173" s="218">
        <v>8950</v>
      </c>
      <c r="F173"/>
      <c r="G173"/>
      <c r="H173"/>
      <c r="I173"/>
      <c r="J173"/>
      <c r="K173"/>
      <c r="L173"/>
      <c r="AA173" s="218"/>
      <c r="AB173" s="218"/>
      <c r="AC173" s="218"/>
      <c r="AD173" s="218"/>
      <c r="AE173" s="4" t="s">
        <v>334</v>
      </c>
      <c r="AF173" s="4" t="s">
        <v>338</v>
      </c>
      <c r="AG173" s="4">
        <v>96</v>
      </c>
    </row>
    <row r="174" spans="1:33" ht="12.75">
      <c r="A174" t="s">
        <v>287</v>
      </c>
      <c r="B174" s="4">
        <v>6.1</v>
      </c>
      <c r="C174" s="4">
        <v>8.99</v>
      </c>
      <c r="D174" s="218">
        <v>5595</v>
      </c>
      <c r="F174"/>
      <c r="G174"/>
      <c r="H174"/>
      <c r="I174"/>
      <c r="J174"/>
      <c r="K174"/>
      <c r="L174"/>
      <c r="AA174" s="218"/>
      <c r="AB174" s="218"/>
      <c r="AC174" s="218"/>
      <c r="AD174" s="218"/>
      <c r="AE174" s="4" t="s">
        <v>339</v>
      </c>
      <c r="AF174" s="4" t="s">
        <v>340</v>
      </c>
      <c r="AG174" s="4">
        <v>97</v>
      </c>
    </row>
    <row r="175" spans="1:33" ht="12.75">
      <c r="A175" t="s">
        <v>287</v>
      </c>
      <c r="B175" s="4">
        <v>6.1</v>
      </c>
      <c r="C175" s="4">
        <v>10.52</v>
      </c>
      <c r="D175" s="218">
        <v>6714</v>
      </c>
      <c r="F175"/>
      <c r="G175"/>
      <c r="H175"/>
      <c r="I175"/>
      <c r="J175"/>
      <c r="K175"/>
      <c r="L175"/>
      <c r="AA175" s="218"/>
      <c r="AB175" s="218"/>
      <c r="AC175" s="218"/>
      <c r="AD175" s="218"/>
      <c r="AE175" s="4" t="s">
        <v>341</v>
      </c>
      <c r="AF175" s="4" t="s">
        <v>342</v>
      </c>
      <c r="AG175" s="4">
        <v>97</v>
      </c>
    </row>
    <row r="176" spans="1:33" ht="12.75">
      <c r="A176" t="s">
        <v>287</v>
      </c>
      <c r="B176" s="4">
        <v>6.1</v>
      </c>
      <c r="C176" s="4">
        <v>10.21</v>
      </c>
      <c r="D176" s="218">
        <v>7087</v>
      </c>
      <c r="F176"/>
      <c r="G176"/>
      <c r="H176"/>
      <c r="I176"/>
      <c r="J176"/>
      <c r="K176"/>
      <c r="L176"/>
      <c r="AA176" s="218"/>
      <c r="AB176" s="218"/>
      <c r="AC176" s="218"/>
      <c r="AD176" s="218"/>
      <c r="AE176" s="4" t="s">
        <v>343</v>
      </c>
      <c r="AF176" s="4" t="s">
        <v>296</v>
      </c>
      <c r="AG176" s="4">
        <v>97</v>
      </c>
    </row>
    <row r="177" spans="1:33" ht="12.75">
      <c r="A177" t="s">
        <v>287</v>
      </c>
      <c r="B177" s="4">
        <v>6.1</v>
      </c>
      <c r="C177" s="4">
        <v>10.21</v>
      </c>
      <c r="D177" s="218">
        <v>6714</v>
      </c>
      <c r="F177"/>
      <c r="G177"/>
      <c r="H177"/>
      <c r="I177"/>
      <c r="J177"/>
      <c r="K177"/>
      <c r="L177"/>
      <c r="AA177" s="218"/>
      <c r="AB177" s="218"/>
      <c r="AC177" s="218"/>
      <c r="AD177" s="218"/>
      <c r="AE177" s="4" t="s">
        <v>333</v>
      </c>
      <c r="AF177" s="4" t="s">
        <v>344</v>
      </c>
      <c r="AG177" s="4">
        <v>97</v>
      </c>
    </row>
    <row r="178" spans="1:33" ht="12.75">
      <c r="A178" t="s">
        <v>287</v>
      </c>
      <c r="B178" s="4">
        <v>6.1</v>
      </c>
      <c r="C178" s="4">
        <v>9.3</v>
      </c>
      <c r="D178" s="218">
        <v>5595</v>
      </c>
      <c r="F178"/>
      <c r="G178"/>
      <c r="H178"/>
      <c r="I178"/>
      <c r="J178"/>
      <c r="K178"/>
      <c r="L178"/>
      <c r="AA178" s="218"/>
      <c r="AB178" s="218"/>
      <c r="AC178" s="218"/>
      <c r="AD178" s="218"/>
      <c r="AE178" s="4" t="s">
        <v>333</v>
      </c>
      <c r="AF178" s="4" t="s">
        <v>297</v>
      </c>
      <c r="AG178" s="4">
        <v>96</v>
      </c>
    </row>
    <row r="179" spans="1:33" ht="12.75">
      <c r="A179" t="s">
        <v>287</v>
      </c>
      <c r="B179" s="4">
        <v>6.1</v>
      </c>
      <c r="C179" s="4">
        <v>9.3</v>
      </c>
      <c r="D179" s="218">
        <v>5595</v>
      </c>
      <c r="F179"/>
      <c r="G179"/>
      <c r="H179"/>
      <c r="I179"/>
      <c r="J179"/>
      <c r="K179"/>
      <c r="L179"/>
      <c r="AA179" s="218"/>
      <c r="AB179" s="218"/>
      <c r="AC179" s="218"/>
      <c r="AD179" s="218"/>
      <c r="AE179" s="4" t="s">
        <v>333</v>
      </c>
      <c r="AF179" s="4" t="s">
        <v>297</v>
      </c>
      <c r="AG179" s="4">
        <v>95</v>
      </c>
    </row>
    <row r="180" spans="1:33" ht="12.75">
      <c r="A180" t="s">
        <v>287</v>
      </c>
      <c r="B180" s="4">
        <v>6.1</v>
      </c>
      <c r="C180" s="4">
        <v>9.3</v>
      </c>
      <c r="D180" s="218">
        <v>6341</v>
      </c>
      <c r="F180"/>
      <c r="G180"/>
      <c r="H180"/>
      <c r="I180"/>
      <c r="J180"/>
      <c r="K180"/>
      <c r="L180"/>
      <c r="AA180" s="218"/>
      <c r="AB180" s="218"/>
      <c r="AC180" s="218"/>
      <c r="AD180" s="218"/>
      <c r="AE180" s="4" t="s">
        <v>333</v>
      </c>
      <c r="AF180" s="4" t="s">
        <v>298</v>
      </c>
      <c r="AG180" s="4">
        <v>95</v>
      </c>
    </row>
    <row r="181" spans="1:33" ht="12.75">
      <c r="A181" t="s">
        <v>287</v>
      </c>
      <c r="B181" s="4">
        <v>6.1</v>
      </c>
      <c r="C181" s="4">
        <v>9.3</v>
      </c>
      <c r="D181" s="218">
        <v>5595</v>
      </c>
      <c r="F181"/>
      <c r="G181"/>
      <c r="H181"/>
      <c r="I181"/>
      <c r="J181"/>
      <c r="K181"/>
      <c r="L181"/>
      <c r="AA181" s="218"/>
      <c r="AB181" s="218"/>
      <c r="AC181" s="218"/>
      <c r="AD181" s="218"/>
      <c r="AE181" s="4" t="s">
        <v>343</v>
      </c>
      <c r="AF181" s="4" t="s">
        <v>345</v>
      </c>
      <c r="AG181" s="4">
        <v>95</v>
      </c>
    </row>
    <row r="182" spans="1:33" ht="12.75">
      <c r="A182" t="s">
        <v>287</v>
      </c>
      <c r="B182" s="4">
        <v>6.1</v>
      </c>
      <c r="C182" s="4">
        <v>9.3</v>
      </c>
      <c r="D182" s="218">
        <v>5595</v>
      </c>
      <c r="F182"/>
      <c r="G182"/>
      <c r="H182"/>
      <c r="I182"/>
      <c r="J182"/>
      <c r="K182"/>
      <c r="L182"/>
      <c r="AA182" s="218"/>
      <c r="AB182" s="218"/>
      <c r="AC182" s="218"/>
      <c r="AD182" s="218"/>
      <c r="AE182" s="4" t="s">
        <v>343</v>
      </c>
      <c r="AF182" s="4" t="s">
        <v>346</v>
      </c>
      <c r="AG182" s="4">
        <v>95</v>
      </c>
    </row>
    <row r="183" spans="1:33" ht="12.75">
      <c r="A183" t="s">
        <v>287</v>
      </c>
      <c r="B183" s="4">
        <v>6.1</v>
      </c>
      <c r="C183" s="4">
        <v>10.21</v>
      </c>
      <c r="D183" s="218">
        <v>6714</v>
      </c>
      <c r="F183"/>
      <c r="G183"/>
      <c r="H183"/>
      <c r="I183"/>
      <c r="J183"/>
      <c r="K183"/>
      <c r="L183"/>
      <c r="AA183" s="218"/>
      <c r="AB183" s="218"/>
      <c r="AC183" s="218"/>
      <c r="AD183" s="218"/>
      <c r="AE183" s="4" t="s">
        <v>333</v>
      </c>
      <c r="AF183" s="4" t="s">
        <v>297</v>
      </c>
      <c r="AG183" s="4">
        <v>94</v>
      </c>
    </row>
    <row r="184" spans="1:33" ht="12.75">
      <c r="A184" t="s">
        <v>287</v>
      </c>
      <c r="B184" s="4">
        <v>6.1</v>
      </c>
      <c r="C184" s="4">
        <v>9.3</v>
      </c>
      <c r="D184" s="218">
        <v>6100</v>
      </c>
      <c r="F184"/>
      <c r="G184"/>
      <c r="H184"/>
      <c r="I184"/>
      <c r="J184"/>
      <c r="K184"/>
      <c r="L184"/>
      <c r="AA184" s="218"/>
      <c r="AB184" s="218"/>
      <c r="AC184" s="218"/>
      <c r="AD184" s="218"/>
      <c r="AE184" s="4" t="s">
        <v>335</v>
      </c>
      <c r="AF184" s="4" t="s">
        <v>336</v>
      </c>
      <c r="AG184" s="4">
        <v>93</v>
      </c>
    </row>
    <row r="185" spans="1:33" ht="12.75">
      <c r="A185" t="s">
        <v>287</v>
      </c>
      <c r="B185" s="4">
        <v>6.1</v>
      </c>
      <c r="C185" s="4">
        <v>9.3</v>
      </c>
      <c r="D185" s="218">
        <v>6340</v>
      </c>
      <c r="F185"/>
      <c r="G185"/>
      <c r="H185"/>
      <c r="I185"/>
      <c r="J185"/>
      <c r="K185"/>
      <c r="L185"/>
      <c r="AA185" s="218"/>
      <c r="AB185" s="218"/>
      <c r="AC185" s="218"/>
      <c r="AD185" s="218"/>
      <c r="AE185" s="4" t="s">
        <v>333</v>
      </c>
      <c r="AF185" s="4" t="s">
        <v>296</v>
      </c>
      <c r="AG185" s="4">
        <v>93</v>
      </c>
    </row>
    <row r="186" spans="1:33" ht="12.75">
      <c r="A186" t="s">
        <v>287</v>
      </c>
      <c r="B186" s="4">
        <v>6.1</v>
      </c>
      <c r="C186" s="4">
        <v>9.3</v>
      </c>
      <c r="D186" s="218">
        <v>5595</v>
      </c>
      <c r="F186"/>
      <c r="G186"/>
      <c r="H186"/>
      <c r="I186"/>
      <c r="J186"/>
      <c r="K186"/>
      <c r="L186"/>
      <c r="AA186" s="218"/>
      <c r="AB186" s="218"/>
      <c r="AC186" s="218"/>
      <c r="AD186" s="218"/>
      <c r="AE186" s="4" t="s">
        <v>333</v>
      </c>
      <c r="AF186" s="4" t="s">
        <v>297</v>
      </c>
      <c r="AG186" s="4">
        <v>91</v>
      </c>
    </row>
    <row r="187" spans="1:33" ht="12.75">
      <c r="A187" t="s">
        <v>287</v>
      </c>
      <c r="B187" s="4">
        <v>6.1</v>
      </c>
      <c r="C187" s="4">
        <v>9.3</v>
      </c>
      <c r="D187" s="218">
        <v>5595</v>
      </c>
      <c r="F187"/>
      <c r="G187"/>
      <c r="H187"/>
      <c r="I187"/>
      <c r="J187"/>
      <c r="K187"/>
      <c r="L187"/>
      <c r="AA187" s="218"/>
      <c r="AB187" s="218"/>
      <c r="AC187" s="218"/>
      <c r="AD187" s="218"/>
      <c r="AE187" s="4" t="s">
        <v>333</v>
      </c>
      <c r="AF187" s="4" t="s">
        <v>300</v>
      </c>
      <c r="AG187" s="4">
        <v>90</v>
      </c>
    </row>
    <row r="188" spans="1:33" ht="12.75">
      <c r="A188" t="s">
        <v>287</v>
      </c>
      <c r="B188" s="4">
        <v>5.68</v>
      </c>
      <c r="C188" s="4">
        <v>8.53</v>
      </c>
      <c r="D188" s="218">
        <v>4849</v>
      </c>
      <c r="F188"/>
      <c r="G188"/>
      <c r="H188"/>
      <c r="I188"/>
      <c r="J188"/>
      <c r="K188"/>
      <c r="L188"/>
      <c r="AA188" s="218"/>
      <c r="AB188" s="218"/>
      <c r="AC188" s="218"/>
      <c r="AD188" s="218"/>
      <c r="AE188" s="4" t="s">
        <v>333</v>
      </c>
      <c r="AF188" s="4" t="s">
        <v>297</v>
      </c>
      <c r="AG188" s="4">
        <v>89</v>
      </c>
    </row>
    <row r="189" spans="1:33" ht="12.75">
      <c r="A189" t="s">
        <v>287</v>
      </c>
      <c r="B189" s="4">
        <v>5.68</v>
      </c>
      <c r="C189" s="4">
        <v>8.53</v>
      </c>
      <c r="D189" s="218">
        <v>4849</v>
      </c>
      <c r="F189"/>
      <c r="G189"/>
      <c r="H189"/>
      <c r="I189"/>
      <c r="J189"/>
      <c r="K189"/>
      <c r="L189"/>
      <c r="AA189" s="218"/>
      <c r="AB189" s="218"/>
      <c r="AC189" s="218"/>
      <c r="AD189" s="218"/>
      <c r="AE189" s="4" t="s">
        <v>333</v>
      </c>
      <c r="AF189" s="4" t="s">
        <v>297</v>
      </c>
      <c r="AG189" s="4">
        <v>88</v>
      </c>
    </row>
    <row r="190" spans="1:33" ht="12.75">
      <c r="A190" t="s">
        <v>287</v>
      </c>
      <c r="B190" s="4">
        <v>5.49</v>
      </c>
      <c r="C190" s="121">
        <v>8.6868</v>
      </c>
      <c r="D190" s="218">
        <v>4476</v>
      </c>
      <c r="F190"/>
      <c r="G190"/>
      <c r="H190"/>
      <c r="I190"/>
      <c r="J190"/>
      <c r="K190"/>
      <c r="L190"/>
      <c r="AA190" s="218"/>
      <c r="AB190" s="218"/>
      <c r="AC190" s="218"/>
      <c r="AD190" s="218"/>
      <c r="AE190" s="4" t="s">
        <v>347</v>
      </c>
      <c r="AF190" s="4" t="s">
        <v>348</v>
      </c>
      <c r="AG190" s="4">
        <v>95</v>
      </c>
    </row>
    <row r="191" spans="1:33" ht="12.75">
      <c r="A191" t="s">
        <v>287</v>
      </c>
      <c r="B191" s="4">
        <v>5.49</v>
      </c>
      <c r="C191" s="121">
        <v>9.906</v>
      </c>
      <c r="D191" s="218">
        <v>4898.236</v>
      </c>
      <c r="F191"/>
      <c r="G191"/>
      <c r="H191"/>
      <c r="I191"/>
      <c r="J191"/>
      <c r="K191"/>
      <c r="L191"/>
      <c r="AA191" s="218"/>
      <c r="AB191" s="218"/>
      <c r="AC191" s="218"/>
      <c r="AD191" s="218"/>
      <c r="AE191" s="4" t="s">
        <v>343</v>
      </c>
      <c r="AF191" s="4" t="s">
        <v>295</v>
      </c>
      <c r="AG191" s="4">
        <v>95</v>
      </c>
    </row>
    <row r="192" spans="1:33" ht="12.75">
      <c r="A192" t="s">
        <v>287</v>
      </c>
      <c r="B192" s="4">
        <v>5.49</v>
      </c>
      <c r="C192" s="121">
        <v>7.4676</v>
      </c>
      <c r="D192" s="218">
        <v>4103</v>
      </c>
      <c r="F192"/>
      <c r="G192"/>
      <c r="H192"/>
      <c r="I192"/>
      <c r="J192"/>
      <c r="K192"/>
      <c r="L192"/>
      <c r="AA192" s="218"/>
      <c r="AB192" s="218"/>
      <c r="AC192" s="218"/>
      <c r="AD192" s="218"/>
      <c r="AE192" s="4" t="s">
        <v>333</v>
      </c>
      <c r="AF192" s="4" t="s">
        <v>297</v>
      </c>
      <c r="AG192" s="4">
        <v>93</v>
      </c>
    </row>
    <row r="193" spans="1:33" ht="12.75">
      <c r="A193" t="s">
        <v>287</v>
      </c>
      <c r="B193" s="4">
        <v>5.49</v>
      </c>
      <c r="C193" s="121">
        <v>8.8392</v>
      </c>
      <c r="D193" s="218">
        <v>4476</v>
      </c>
      <c r="F193"/>
      <c r="G193"/>
      <c r="H193"/>
      <c r="I193"/>
      <c r="J193"/>
      <c r="K193"/>
      <c r="L193"/>
      <c r="AA193" s="218"/>
      <c r="AB193" s="218"/>
      <c r="AC193" s="218"/>
      <c r="AD193" s="218"/>
      <c r="AE193" s="4" t="s">
        <v>349</v>
      </c>
      <c r="AF193" s="4" t="s">
        <v>350</v>
      </c>
      <c r="AG193" s="4">
        <v>93</v>
      </c>
    </row>
    <row r="194" spans="1:33" ht="12.75">
      <c r="A194" t="s">
        <v>287</v>
      </c>
      <c r="B194" s="4">
        <v>5.49</v>
      </c>
      <c r="C194" s="121">
        <v>7.4676</v>
      </c>
      <c r="D194" s="218">
        <v>4103</v>
      </c>
      <c r="F194"/>
      <c r="G194"/>
      <c r="H194"/>
      <c r="I194"/>
      <c r="J194"/>
      <c r="K194"/>
      <c r="L194"/>
      <c r="AA194" s="218"/>
      <c r="AB194" s="218"/>
      <c r="AC194" s="218"/>
      <c r="AD194" s="218"/>
      <c r="AE194" s="4" t="s">
        <v>351</v>
      </c>
      <c r="AF194" s="4" t="s">
        <v>297</v>
      </c>
      <c r="AG194" s="4">
        <v>92</v>
      </c>
    </row>
    <row r="195" spans="1:33" ht="12.75">
      <c r="A195" t="s">
        <v>287</v>
      </c>
      <c r="B195" s="4">
        <v>5.49</v>
      </c>
      <c r="C195" s="121">
        <v>9.4488</v>
      </c>
      <c r="D195" s="218">
        <v>4849</v>
      </c>
      <c r="F195"/>
      <c r="G195"/>
      <c r="H195"/>
      <c r="I195"/>
      <c r="J195"/>
      <c r="K195"/>
      <c r="L195"/>
      <c r="AA195" s="218"/>
      <c r="AB195" s="218"/>
      <c r="AC195" s="218"/>
      <c r="AD195" s="218"/>
      <c r="AE195" s="4" t="s">
        <v>333</v>
      </c>
      <c r="AF195" s="4" t="s">
        <v>352</v>
      </c>
      <c r="AG195" s="4">
        <v>89</v>
      </c>
    </row>
    <row r="196" spans="1:33" ht="12.75">
      <c r="A196" t="s">
        <v>287</v>
      </c>
      <c r="B196" s="4">
        <v>5.49</v>
      </c>
      <c r="C196" s="121">
        <v>7.4676</v>
      </c>
      <c r="D196" s="218">
        <v>4103</v>
      </c>
      <c r="F196"/>
      <c r="G196"/>
      <c r="H196"/>
      <c r="I196"/>
      <c r="J196"/>
      <c r="K196"/>
      <c r="L196"/>
      <c r="AA196" s="218"/>
      <c r="AB196" s="218"/>
      <c r="AC196" s="218"/>
      <c r="AD196" s="218"/>
      <c r="AE196" s="4" t="s">
        <v>333</v>
      </c>
      <c r="AF196" s="4" t="s">
        <v>297</v>
      </c>
      <c r="AG196" s="4">
        <v>89</v>
      </c>
    </row>
    <row r="197" spans="1:33" ht="12.75">
      <c r="A197" t="s">
        <v>287</v>
      </c>
      <c r="B197" s="4">
        <v>5.49</v>
      </c>
      <c r="C197" s="121">
        <v>8.5344</v>
      </c>
      <c r="D197" s="218">
        <v>4103</v>
      </c>
      <c r="F197"/>
      <c r="G197"/>
      <c r="H197"/>
      <c r="I197"/>
      <c r="J197"/>
      <c r="K197"/>
      <c r="L197"/>
      <c r="AA197" s="218"/>
      <c r="AB197" s="218"/>
      <c r="AC197" s="218"/>
      <c r="AD197" s="218"/>
      <c r="AE197" s="4" t="s">
        <v>333</v>
      </c>
      <c r="AF197" s="4" t="s">
        <v>350</v>
      </c>
      <c r="AG197" s="4">
        <v>87</v>
      </c>
    </row>
    <row r="198" spans="1:33" ht="12.75">
      <c r="A198" t="s">
        <v>287</v>
      </c>
      <c r="B198" s="4">
        <v>5.49</v>
      </c>
      <c r="C198" s="121">
        <v>7.9248</v>
      </c>
      <c r="D198" s="218">
        <v>3730</v>
      </c>
      <c r="F198"/>
      <c r="G198"/>
      <c r="H198"/>
      <c r="I198"/>
      <c r="J198"/>
      <c r="K198"/>
      <c r="L198"/>
      <c r="AA198" s="218"/>
      <c r="AB198" s="218"/>
      <c r="AC198" s="218"/>
      <c r="AD198" s="218"/>
      <c r="AE198" s="4" t="s">
        <v>333</v>
      </c>
      <c r="AF198" s="4" t="s">
        <v>297</v>
      </c>
      <c r="AG198" s="4">
        <v>86</v>
      </c>
    </row>
    <row r="199" spans="1:33" ht="12.75">
      <c r="A199" t="s">
        <v>287</v>
      </c>
      <c r="B199" s="4">
        <v>5.49</v>
      </c>
      <c r="C199" s="121">
        <v>8.5344</v>
      </c>
      <c r="D199" s="218">
        <v>4103</v>
      </c>
      <c r="F199"/>
      <c r="G199"/>
      <c r="H199"/>
      <c r="I199"/>
      <c r="J199"/>
      <c r="K199"/>
      <c r="L199"/>
      <c r="AA199" s="218"/>
      <c r="AB199" s="218"/>
      <c r="AC199" s="218"/>
      <c r="AD199" s="218"/>
      <c r="AE199" s="4" t="s">
        <v>333</v>
      </c>
      <c r="AF199" s="4" t="s">
        <v>300</v>
      </c>
      <c r="AG199" s="4">
        <v>86</v>
      </c>
    </row>
    <row r="200" spans="1:33" ht="12.75">
      <c r="A200" t="s">
        <v>287</v>
      </c>
      <c r="B200" s="4">
        <v>5.49</v>
      </c>
      <c r="C200" s="121">
        <v>7.315200000000001</v>
      </c>
      <c r="D200" s="218">
        <v>4476</v>
      </c>
      <c r="F200"/>
      <c r="G200"/>
      <c r="H200"/>
      <c r="I200"/>
      <c r="J200"/>
      <c r="K200"/>
      <c r="L200"/>
      <c r="AA200" s="218"/>
      <c r="AB200" s="218"/>
      <c r="AC200" s="218"/>
      <c r="AD200" s="218"/>
      <c r="AE200" s="4" t="s">
        <v>333</v>
      </c>
      <c r="AF200" s="4" t="s">
        <v>353</v>
      </c>
      <c r="AG200" s="4" t="s">
        <v>354</v>
      </c>
    </row>
    <row r="201" spans="1:33" ht="12.75">
      <c r="A201" t="s">
        <v>287</v>
      </c>
      <c r="B201" s="4">
        <v>5.49</v>
      </c>
      <c r="C201" s="121">
        <v>8.5344</v>
      </c>
      <c r="D201" s="218">
        <v>4476</v>
      </c>
      <c r="F201"/>
      <c r="G201"/>
      <c r="H201"/>
      <c r="I201"/>
      <c r="J201"/>
      <c r="K201"/>
      <c r="L201"/>
      <c r="AA201" s="218"/>
      <c r="AB201" s="218"/>
      <c r="AC201" s="218"/>
      <c r="AD201" s="218"/>
      <c r="AE201" s="4" t="s">
        <v>333</v>
      </c>
      <c r="AF201" s="4" t="s">
        <v>355</v>
      </c>
      <c r="AG201" s="4">
        <v>80</v>
      </c>
    </row>
    <row r="202" spans="1:33" ht="12.75">
      <c r="A202" t="s">
        <v>287</v>
      </c>
      <c r="B202" s="4">
        <v>5.49</v>
      </c>
      <c r="C202" s="121">
        <v>9.936480000000001</v>
      </c>
      <c r="D202" s="218">
        <v>4849</v>
      </c>
      <c r="F202"/>
      <c r="G202"/>
      <c r="H202"/>
      <c r="I202"/>
      <c r="J202"/>
      <c r="K202"/>
      <c r="L202"/>
      <c r="AA202" s="218"/>
      <c r="AB202" s="218"/>
      <c r="AC202" s="218"/>
      <c r="AD202" s="218"/>
      <c r="AE202" s="4" t="s">
        <v>356</v>
      </c>
      <c r="AF202" s="4" t="s">
        <v>357</v>
      </c>
      <c r="AG202" s="4">
        <v>80</v>
      </c>
    </row>
    <row r="203" spans="1:33" ht="12.75">
      <c r="A203" t="s">
        <v>287</v>
      </c>
      <c r="B203" s="4">
        <v>5.49</v>
      </c>
      <c r="C203" s="121">
        <v>7.315200000000001</v>
      </c>
      <c r="D203" s="218">
        <v>3998.56</v>
      </c>
      <c r="F203"/>
      <c r="G203"/>
      <c r="H203"/>
      <c r="I203"/>
      <c r="J203"/>
      <c r="K203"/>
      <c r="L203"/>
      <c r="AA203" s="218"/>
      <c r="AB203" s="218"/>
      <c r="AC203" s="218"/>
      <c r="AD203" s="218"/>
      <c r="AE203" s="4" t="s">
        <v>333</v>
      </c>
      <c r="AF203" s="4" t="s">
        <v>353</v>
      </c>
      <c r="AG203" s="4">
        <v>76</v>
      </c>
    </row>
    <row r="204" spans="1:33" ht="12.75">
      <c r="A204" t="s">
        <v>287</v>
      </c>
      <c r="B204" s="4">
        <v>5.49</v>
      </c>
      <c r="C204" s="121">
        <v>7.315200000000001</v>
      </c>
      <c r="D204" s="218">
        <v>3730</v>
      </c>
      <c r="F204"/>
      <c r="G204"/>
      <c r="H204"/>
      <c r="I204"/>
      <c r="J204"/>
      <c r="K204"/>
      <c r="L204"/>
      <c r="AA204" s="218"/>
      <c r="AB204" s="218"/>
      <c r="AC204" s="218"/>
      <c r="AD204" s="218"/>
      <c r="AE204" s="4" t="s">
        <v>356</v>
      </c>
      <c r="AF204" s="4" t="s">
        <v>358</v>
      </c>
      <c r="AG204" s="4">
        <v>74</v>
      </c>
    </row>
    <row r="205" spans="1:33" ht="12.75">
      <c r="A205" t="s">
        <v>287</v>
      </c>
      <c r="B205" s="4">
        <v>5.49</v>
      </c>
      <c r="C205" s="121">
        <v>6.4008</v>
      </c>
      <c r="D205" s="218">
        <v>2797.5</v>
      </c>
      <c r="F205"/>
      <c r="G205"/>
      <c r="H205"/>
      <c r="I205"/>
      <c r="J205"/>
      <c r="K205"/>
      <c r="L205"/>
      <c r="AA205" s="218"/>
      <c r="AB205" s="218"/>
      <c r="AC205" s="218"/>
      <c r="AD205" s="218"/>
      <c r="AE205" s="4" t="s">
        <v>351</v>
      </c>
      <c r="AF205" s="4" t="s">
        <v>352</v>
      </c>
      <c r="AG205" s="4">
        <v>73</v>
      </c>
    </row>
    <row r="206" spans="1:33" ht="12.75">
      <c r="A206" t="s">
        <v>287</v>
      </c>
      <c r="B206" s="4">
        <v>5.49</v>
      </c>
      <c r="C206" s="121">
        <v>6.4008</v>
      </c>
      <c r="D206" s="218">
        <v>3170.5</v>
      </c>
      <c r="F206"/>
      <c r="G206"/>
      <c r="H206"/>
      <c r="I206"/>
      <c r="J206"/>
      <c r="K206"/>
      <c r="L206"/>
      <c r="AA206" s="218"/>
      <c r="AB206" s="218"/>
      <c r="AC206" s="218"/>
      <c r="AD206" s="218"/>
      <c r="AE206" s="4" t="s">
        <v>333</v>
      </c>
      <c r="AF206" s="4" t="s">
        <v>353</v>
      </c>
      <c r="AG206" s="4">
        <v>70</v>
      </c>
    </row>
    <row r="207" spans="1:33" ht="12.75">
      <c r="A207" t="s">
        <v>287</v>
      </c>
      <c r="B207" s="4">
        <v>5.49</v>
      </c>
      <c r="C207" s="121">
        <v>17.3736</v>
      </c>
      <c r="D207" s="218">
        <v>7982.2</v>
      </c>
      <c r="F207"/>
      <c r="G207"/>
      <c r="H207"/>
      <c r="I207"/>
      <c r="J207"/>
      <c r="K207"/>
      <c r="L207"/>
      <c r="AA207" s="218"/>
      <c r="AB207" s="218"/>
      <c r="AC207" s="218"/>
      <c r="AD207" s="218"/>
      <c r="AE207" s="4" t="s">
        <v>359</v>
      </c>
      <c r="AF207" s="4" t="s">
        <v>360</v>
      </c>
      <c r="AG207" s="4"/>
    </row>
    <row r="208" spans="1:33" ht="12.75">
      <c r="A208" t="s">
        <v>287</v>
      </c>
      <c r="B208" s="4">
        <v>5.334</v>
      </c>
      <c r="C208" s="121">
        <v>7.62</v>
      </c>
      <c r="D208" s="218">
        <v>2760.2</v>
      </c>
      <c r="F208"/>
      <c r="G208"/>
      <c r="H208"/>
      <c r="I208"/>
      <c r="J208"/>
      <c r="K208"/>
      <c r="L208"/>
      <c r="AA208" s="218"/>
      <c r="AB208" s="218"/>
      <c r="AC208" s="218"/>
      <c r="AD208" s="218"/>
      <c r="AE208" s="4" t="s">
        <v>361</v>
      </c>
      <c r="AF208" s="4" t="s">
        <v>348</v>
      </c>
      <c r="AG208" s="4">
        <v>74</v>
      </c>
    </row>
    <row r="209" spans="1:33" ht="12.75">
      <c r="A209" t="s">
        <v>287</v>
      </c>
      <c r="B209" s="4">
        <f>17.5*0.3048</f>
        <v>5.3340000000000005</v>
      </c>
      <c r="C209" s="121">
        <v>7.315200000000001</v>
      </c>
      <c r="D209" s="218">
        <v>2797.5</v>
      </c>
      <c r="F209"/>
      <c r="G209"/>
      <c r="H209"/>
      <c r="I209"/>
      <c r="J209"/>
      <c r="K209"/>
      <c r="L209"/>
      <c r="AA209" s="218"/>
      <c r="AB209" s="218"/>
      <c r="AC209" s="218"/>
      <c r="AD209" s="218"/>
      <c r="AE209" s="4" t="s">
        <v>333</v>
      </c>
      <c r="AF209" s="4" t="s">
        <v>362</v>
      </c>
      <c r="AG209" s="4">
        <v>71</v>
      </c>
    </row>
    <row r="210" spans="1:30" ht="12.75">
      <c r="A210" t="s">
        <v>287</v>
      </c>
      <c r="B210" s="4">
        <v>3.05</v>
      </c>
      <c r="C210" s="121">
        <v>3.96</v>
      </c>
      <c r="D210" s="218">
        <v>550</v>
      </c>
      <c r="F210" t="s">
        <v>458</v>
      </c>
      <c r="G210"/>
      <c r="H210"/>
      <c r="I210"/>
      <c r="J210"/>
      <c r="K210"/>
      <c r="L210"/>
      <c r="AA210" s="218"/>
      <c r="AB210" s="218"/>
      <c r="AC210" s="218"/>
      <c r="AD210" s="218"/>
    </row>
    <row r="211" spans="6:30" ht="12.75">
      <c r="F211"/>
      <c r="G211"/>
      <c r="H211"/>
      <c r="I211"/>
      <c r="J211"/>
      <c r="K211"/>
      <c r="L211"/>
      <c r="AA211" s="218"/>
      <c r="AB211" s="218"/>
      <c r="AC211" s="218"/>
      <c r="AD211" s="218"/>
    </row>
    <row r="212" spans="6:30" ht="12.75">
      <c r="F212"/>
      <c r="G212"/>
      <c r="H212"/>
      <c r="I212"/>
      <c r="J212"/>
      <c r="K212"/>
      <c r="L212"/>
      <c r="AA212" s="218"/>
      <c r="AB212" s="218"/>
      <c r="AC212" s="218"/>
      <c r="AD212" s="218"/>
    </row>
    <row r="213" spans="6:30" ht="12.75">
      <c r="F213"/>
      <c r="G213"/>
      <c r="H213"/>
      <c r="I213"/>
      <c r="J213"/>
      <c r="K213"/>
      <c r="L213"/>
      <c r="AA213" s="218"/>
      <c r="AB213" s="218"/>
      <c r="AC213" s="218"/>
      <c r="AD213" s="218"/>
    </row>
    <row r="214" spans="6:30" ht="12.75">
      <c r="F214"/>
      <c r="G214"/>
      <c r="H214"/>
      <c r="I214"/>
      <c r="J214"/>
      <c r="K214"/>
      <c r="L214"/>
      <c r="AA214" s="218"/>
      <c r="AB214" s="218"/>
      <c r="AC214" s="218"/>
      <c r="AD214" s="218"/>
    </row>
    <row r="215" spans="6:30" ht="12.75">
      <c r="F215"/>
      <c r="G215"/>
      <c r="H215"/>
      <c r="I215"/>
      <c r="J215"/>
      <c r="K215"/>
      <c r="L215"/>
      <c r="AA215" s="218"/>
      <c r="AB215" s="218"/>
      <c r="AC215" s="218"/>
      <c r="AD215" s="218"/>
    </row>
    <row r="216" spans="6:30" ht="12.75">
      <c r="F216"/>
      <c r="G216"/>
      <c r="H216"/>
      <c r="I216"/>
      <c r="J216"/>
      <c r="K216"/>
      <c r="L216"/>
      <c r="AA216" s="218"/>
      <c r="AB216" s="218"/>
      <c r="AC216" s="218"/>
      <c r="AD216" s="218"/>
    </row>
    <row r="217" spans="6:33" ht="12.75">
      <c r="F217"/>
      <c r="G217"/>
      <c r="H217"/>
      <c r="I217"/>
      <c r="J217"/>
      <c r="K217"/>
      <c r="L217"/>
      <c r="AA217" s="218"/>
      <c r="AB217" s="218"/>
      <c r="AC217" s="218"/>
      <c r="AD217" s="218"/>
      <c r="AE217" s="4"/>
      <c r="AF217" s="4"/>
      <c r="AG217" s="4"/>
    </row>
    <row r="218" spans="6:33" ht="12.75">
      <c r="F218"/>
      <c r="G218"/>
      <c r="H218"/>
      <c r="I218"/>
      <c r="J218"/>
      <c r="K218"/>
      <c r="L218"/>
      <c r="AA218" s="218"/>
      <c r="AB218" s="218"/>
      <c r="AC218" s="218"/>
      <c r="AD218" s="218"/>
      <c r="AE218" s="4"/>
      <c r="AF218" s="4"/>
      <c r="AG218" s="4"/>
    </row>
    <row r="219" spans="6:30" ht="12.75">
      <c r="F219"/>
      <c r="G219"/>
      <c r="H219"/>
      <c r="I219"/>
      <c r="J219"/>
      <c r="K219"/>
      <c r="L219"/>
      <c r="AA219" s="218"/>
      <c r="AB219" s="218"/>
      <c r="AC219" s="218"/>
      <c r="AD219" s="218"/>
    </row>
    <row r="220" spans="6:30" ht="12.75">
      <c r="F220"/>
      <c r="G220"/>
      <c r="H220"/>
      <c r="I220"/>
      <c r="J220"/>
      <c r="K220"/>
      <c r="L220"/>
      <c r="AA220" s="218"/>
      <c r="AB220" s="218"/>
      <c r="AC220" s="218"/>
      <c r="AD220" s="218"/>
    </row>
    <row r="221" spans="6:33" ht="12.75">
      <c r="F221"/>
      <c r="G221"/>
      <c r="H221"/>
      <c r="I221"/>
      <c r="J221"/>
      <c r="K221"/>
      <c r="L221"/>
      <c r="AA221" s="218"/>
      <c r="AB221" s="218"/>
      <c r="AC221" s="218"/>
      <c r="AD221" s="218"/>
      <c r="AE221" s="4"/>
      <c r="AF221" s="4"/>
      <c r="AG221" s="4"/>
    </row>
    <row r="222" spans="6:33" ht="12.75">
      <c r="F222"/>
      <c r="G222"/>
      <c r="H222"/>
      <c r="I222"/>
      <c r="J222"/>
      <c r="K222"/>
      <c r="L222"/>
      <c r="AA222" s="218"/>
      <c r="AB222" s="218"/>
      <c r="AC222" s="218"/>
      <c r="AD222" s="218"/>
      <c r="AE222" s="4"/>
      <c r="AF222" s="4"/>
      <c r="AG222" s="4"/>
    </row>
    <row r="223" spans="6:33" ht="12.75">
      <c r="F223"/>
      <c r="G223"/>
      <c r="H223"/>
      <c r="I223"/>
      <c r="J223"/>
      <c r="K223"/>
      <c r="L223"/>
      <c r="AA223" s="218" t="s">
        <v>363</v>
      </c>
      <c r="AB223" s="218" t="s">
        <v>95</v>
      </c>
      <c r="AC223" s="218">
        <v>3</v>
      </c>
      <c r="AD223" s="218">
        <v>6500</v>
      </c>
      <c r="AE223" s="4" t="s">
        <v>356</v>
      </c>
      <c r="AF223" s="4" t="s">
        <v>364</v>
      </c>
      <c r="AG223" s="4">
        <v>96</v>
      </c>
    </row>
    <row r="224" spans="6:33" ht="12.75">
      <c r="F224"/>
      <c r="G224"/>
      <c r="H224"/>
      <c r="I224"/>
      <c r="J224"/>
      <c r="K224"/>
      <c r="L224"/>
      <c r="AA224" s="218" t="s">
        <v>363</v>
      </c>
      <c r="AB224" s="218"/>
      <c r="AC224" s="218">
        <v>3</v>
      </c>
      <c r="AD224" s="218">
        <v>6035</v>
      </c>
      <c r="AE224" s="4" t="s">
        <v>349</v>
      </c>
      <c r="AF224" s="4" t="s">
        <v>365</v>
      </c>
      <c r="AG224" s="4">
        <v>96</v>
      </c>
    </row>
    <row r="225" spans="6:33" ht="12.75">
      <c r="F225"/>
      <c r="G225"/>
      <c r="H225"/>
      <c r="I225"/>
      <c r="J225"/>
      <c r="K225"/>
      <c r="L225"/>
      <c r="AA225" s="218" t="s">
        <v>366</v>
      </c>
      <c r="AB225" s="218" t="s">
        <v>6</v>
      </c>
      <c r="AC225" s="218">
        <v>1</v>
      </c>
      <c r="AD225" s="218">
        <v>2680</v>
      </c>
      <c r="AE225" s="4" t="s">
        <v>333</v>
      </c>
      <c r="AF225" s="4" t="s">
        <v>367</v>
      </c>
      <c r="AG225" s="4">
        <v>89</v>
      </c>
    </row>
    <row r="226" spans="6:33" ht="12.75">
      <c r="F226"/>
      <c r="G226"/>
      <c r="H226"/>
      <c r="I226"/>
      <c r="J226"/>
      <c r="K226"/>
      <c r="L226"/>
      <c r="AA226" s="218" t="s">
        <v>363</v>
      </c>
      <c r="AB226" s="218" t="s">
        <v>6</v>
      </c>
      <c r="AC226" s="218">
        <v>1</v>
      </c>
      <c r="AD226" s="218">
        <v>6400</v>
      </c>
      <c r="AE226" s="4" t="s">
        <v>356</v>
      </c>
      <c r="AF226" s="4" t="s">
        <v>364</v>
      </c>
      <c r="AG226" s="4">
        <v>89</v>
      </c>
    </row>
    <row r="227" spans="6:33" ht="12.75">
      <c r="F227"/>
      <c r="G227"/>
      <c r="H227"/>
      <c r="I227"/>
      <c r="J227"/>
      <c r="K227"/>
      <c r="L227"/>
      <c r="AA227" s="218" t="s">
        <v>368</v>
      </c>
      <c r="AB227" s="218"/>
      <c r="AC227" s="218">
        <v>1</v>
      </c>
      <c r="AD227" s="218">
        <v>6000</v>
      </c>
      <c r="AE227" s="4" t="s">
        <v>349</v>
      </c>
      <c r="AF227" s="4" t="s">
        <v>365</v>
      </c>
      <c r="AG227" s="4">
        <v>89</v>
      </c>
    </row>
    <row r="228" spans="6:33" ht="12.75">
      <c r="F228"/>
      <c r="G228"/>
      <c r="H228"/>
      <c r="I228"/>
      <c r="J228"/>
      <c r="K228"/>
      <c r="L228"/>
      <c r="AA228" s="218" t="s">
        <v>369</v>
      </c>
      <c r="AB228" s="218" t="s">
        <v>370</v>
      </c>
      <c r="AC228" s="218">
        <v>2</v>
      </c>
      <c r="AD228" s="218">
        <v>5500</v>
      </c>
      <c r="AE228" s="4" t="s">
        <v>371</v>
      </c>
      <c r="AF228" s="4" t="s">
        <v>372</v>
      </c>
      <c r="AG228" s="4">
        <v>86</v>
      </c>
    </row>
    <row r="229" spans="6:33" ht="12.75">
      <c r="F229"/>
      <c r="G229"/>
      <c r="H229"/>
      <c r="I229"/>
      <c r="J229"/>
      <c r="K229"/>
      <c r="L229"/>
      <c r="AA229" s="218" t="s">
        <v>373</v>
      </c>
      <c r="AB229" s="218" t="s">
        <v>6</v>
      </c>
      <c r="AC229" s="218">
        <v>1</v>
      </c>
      <c r="AD229" s="218">
        <v>2144</v>
      </c>
      <c r="AE229" s="4" t="s">
        <v>333</v>
      </c>
      <c r="AF229" s="4" t="s">
        <v>367</v>
      </c>
      <c r="AG229" s="4">
        <v>80</v>
      </c>
    </row>
    <row r="230" spans="6:33" ht="12.75">
      <c r="F230"/>
      <c r="G230"/>
      <c r="H230"/>
      <c r="I230"/>
      <c r="J230"/>
      <c r="K230"/>
      <c r="L230"/>
      <c r="AA230" s="218" t="s">
        <v>374</v>
      </c>
      <c r="AB230" s="218" t="s">
        <v>375</v>
      </c>
      <c r="AC230" s="218">
        <v>1</v>
      </c>
      <c r="AD230" s="218">
        <v>8000</v>
      </c>
      <c r="AE230" s="4" t="s">
        <v>359</v>
      </c>
      <c r="AF230" s="4" t="s">
        <v>376</v>
      </c>
      <c r="AG230" s="4"/>
    </row>
    <row r="231" spans="6:33" ht="12.75">
      <c r="F231"/>
      <c r="G231"/>
      <c r="H231"/>
      <c r="I231"/>
      <c r="J231"/>
      <c r="K231"/>
      <c r="L231"/>
      <c r="AA231" s="218" t="s">
        <v>374</v>
      </c>
      <c r="AB231" s="218" t="s">
        <v>375</v>
      </c>
      <c r="AC231" s="218">
        <v>1</v>
      </c>
      <c r="AD231" s="218">
        <v>8000</v>
      </c>
      <c r="AE231" s="4" t="s">
        <v>359</v>
      </c>
      <c r="AF231" s="4" t="s">
        <v>377</v>
      </c>
      <c r="AG231" s="4"/>
    </row>
    <row r="232" spans="6:33" ht="12.75">
      <c r="F232"/>
      <c r="G232"/>
      <c r="H232"/>
      <c r="I232"/>
      <c r="J232"/>
      <c r="K232"/>
      <c r="L232"/>
      <c r="AA232" s="218" t="s">
        <v>378</v>
      </c>
      <c r="AB232" s="218" t="s">
        <v>370</v>
      </c>
      <c r="AC232" s="218">
        <v>1</v>
      </c>
      <c r="AD232" s="218">
        <v>6000</v>
      </c>
      <c r="AE232" s="4" t="s">
        <v>379</v>
      </c>
      <c r="AF232" s="4" t="s">
        <v>380</v>
      </c>
      <c r="AG232" s="4">
        <v>75</v>
      </c>
    </row>
    <row r="233" spans="6:33" ht="12.75">
      <c r="F233"/>
      <c r="G233"/>
      <c r="H233"/>
      <c r="I233"/>
      <c r="J233"/>
      <c r="K233"/>
      <c r="L233"/>
      <c r="AA233" s="218" t="s">
        <v>363</v>
      </c>
      <c r="AB233" s="218" t="s">
        <v>6</v>
      </c>
      <c r="AC233" s="218">
        <v>6</v>
      </c>
      <c r="AD233" s="218">
        <v>6400</v>
      </c>
      <c r="AE233" s="4" t="s">
        <v>356</v>
      </c>
      <c r="AF233" s="4" t="s">
        <v>348</v>
      </c>
      <c r="AG233" s="4">
        <v>75</v>
      </c>
    </row>
    <row r="234" spans="6:33" ht="12.75">
      <c r="F234"/>
      <c r="G234"/>
      <c r="H234"/>
      <c r="I234"/>
      <c r="J234"/>
      <c r="K234"/>
      <c r="L234"/>
      <c r="AA234" s="218" t="s">
        <v>363</v>
      </c>
      <c r="AB234" s="218" t="s">
        <v>6</v>
      </c>
      <c r="AC234" s="218">
        <v>2</v>
      </c>
      <c r="AD234" s="218">
        <v>6200</v>
      </c>
      <c r="AE234" s="4" t="s">
        <v>356</v>
      </c>
      <c r="AF234" s="4"/>
      <c r="AG234" s="4">
        <v>75</v>
      </c>
    </row>
    <row r="235" spans="6:33" ht="12.75">
      <c r="F235"/>
      <c r="G235"/>
      <c r="H235"/>
      <c r="I235"/>
      <c r="J235"/>
      <c r="K235"/>
      <c r="L235"/>
      <c r="AA235" s="218" t="s">
        <v>363</v>
      </c>
      <c r="AB235" s="218" t="s">
        <v>6</v>
      </c>
      <c r="AC235" s="218">
        <v>4</v>
      </c>
      <c r="AD235" s="218">
        <v>6000</v>
      </c>
      <c r="AE235" s="4" t="s">
        <v>356</v>
      </c>
      <c r="AF235" s="4"/>
      <c r="AG235" s="4">
        <v>74</v>
      </c>
    </row>
    <row r="236" spans="6:33" ht="12.75">
      <c r="F236"/>
      <c r="G236"/>
      <c r="H236"/>
      <c r="I236"/>
      <c r="J236"/>
      <c r="K236"/>
      <c r="L236"/>
      <c r="AA236" s="218" t="s">
        <v>363</v>
      </c>
      <c r="AB236" s="218" t="s">
        <v>6</v>
      </c>
      <c r="AC236" s="218">
        <v>2</v>
      </c>
      <c r="AD236" s="218">
        <v>6200</v>
      </c>
      <c r="AE236" s="4" t="s">
        <v>356</v>
      </c>
      <c r="AF236" s="4" t="s">
        <v>364</v>
      </c>
      <c r="AG236" s="4">
        <v>71</v>
      </c>
    </row>
    <row r="237" spans="6:33" ht="12.75">
      <c r="F237"/>
      <c r="G237"/>
      <c r="H237"/>
      <c r="I237"/>
      <c r="J237"/>
      <c r="K237"/>
      <c r="L237"/>
      <c r="AA237" s="218" t="s">
        <v>381</v>
      </c>
      <c r="AB237" s="218"/>
      <c r="AC237" s="218">
        <v>29</v>
      </c>
      <c r="AD237" s="218"/>
      <c r="AE237" s="4"/>
      <c r="AF237" s="4"/>
      <c r="AG237" s="4"/>
    </row>
    <row r="238" spans="6:33" ht="12.75">
      <c r="F238"/>
      <c r="G238"/>
      <c r="H238"/>
      <c r="I238"/>
      <c r="J238"/>
      <c r="K238"/>
      <c r="L238"/>
      <c r="AA238" s="218"/>
      <c r="AB238" s="218"/>
      <c r="AC238" s="218"/>
      <c r="AD238" s="218"/>
      <c r="AE238" s="4"/>
      <c r="AF238" s="4"/>
      <c r="AG238" s="4"/>
    </row>
    <row r="239" spans="6:33" ht="12.75">
      <c r="F239"/>
      <c r="G239"/>
      <c r="H239"/>
      <c r="I239"/>
      <c r="J239"/>
      <c r="K239"/>
      <c r="L239"/>
      <c r="AA239" s="218" t="s">
        <v>382</v>
      </c>
      <c r="AB239" s="218" t="s">
        <v>95</v>
      </c>
      <c r="AC239" s="218">
        <v>1</v>
      </c>
      <c r="AD239" s="218">
        <v>3755</v>
      </c>
      <c r="AE239" s="4" t="s">
        <v>335</v>
      </c>
      <c r="AF239" s="4" t="s">
        <v>336</v>
      </c>
      <c r="AG239" s="4">
        <v>97</v>
      </c>
    </row>
    <row r="240" spans="6:33" ht="12.75">
      <c r="F240"/>
      <c r="G240"/>
      <c r="H240"/>
      <c r="I240"/>
      <c r="J240"/>
      <c r="K240"/>
      <c r="L240"/>
      <c r="AA240" s="218" t="s">
        <v>383</v>
      </c>
      <c r="AB240" s="218" t="s">
        <v>95</v>
      </c>
      <c r="AC240" s="218">
        <v>1</v>
      </c>
      <c r="AD240" s="218">
        <v>5000</v>
      </c>
      <c r="AE240" s="4" t="s">
        <v>333</v>
      </c>
      <c r="AF240" s="4" t="s">
        <v>384</v>
      </c>
      <c r="AG240" s="4">
        <v>96</v>
      </c>
    </row>
    <row r="241" spans="6:33" ht="12.75">
      <c r="F241"/>
      <c r="G241"/>
      <c r="H241"/>
      <c r="I241"/>
      <c r="J241"/>
      <c r="K241"/>
      <c r="L241"/>
      <c r="AA241" s="218" t="s">
        <v>385</v>
      </c>
      <c r="AB241" s="218" t="s">
        <v>95</v>
      </c>
      <c r="AC241" s="218">
        <v>2</v>
      </c>
      <c r="AD241" s="218">
        <v>5000</v>
      </c>
      <c r="AE241" s="4" t="s">
        <v>333</v>
      </c>
      <c r="AF241" s="4" t="s">
        <v>384</v>
      </c>
      <c r="AG241" s="4">
        <v>96</v>
      </c>
    </row>
    <row r="242" spans="6:33" ht="12.75">
      <c r="F242"/>
      <c r="G242"/>
      <c r="H242"/>
      <c r="I242"/>
      <c r="J242"/>
      <c r="K242"/>
      <c r="L242"/>
      <c r="AA242" s="218" t="s">
        <v>386</v>
      </c>
      <c r="AB242" s="218" t="s">
        <v>387</v>
      </c>
      <c r="AC242" s="218">
        <v>1</v>
      </c>
      <c r="AD242" s="218">
        <v>4694</v>
      </c>
      <c r="AE242" s="4" t="s">
        <v>343</v>
      </c>
      <c r="AF242" s="4" t="s">
        <v>336</v>
      </c>
      <c r="AG242" s="4">
        <v>95</v>
      </c>
    </row>
    <row r="243" spans="6:33" ht="12.75">
      <c r="F243"/>
      <c r="G243"/>
      <c r="H243"/>
      <c r="I243"/>
      <c r="J243"/>
      <c r="K243"/>
      <c r="L243"/>
      <c r="AA243" s="218" t="s">
        <v>388</v>
      </c>
      <c r="AB243" s="218" t="s">
        <v>387</v>
      </c>
      <c r="AC243" s="218">
        <v>2</v>
      </c>
      <c r="AD243" s="218">
        <v>4500</v>
      </c>
      <c r="AE243" s="4" t="s">
        <v>333</v>
      </c>
      <c r="AF243" s="4" t="s">
        <v>298</v>
      </c>
      <c r="AG243" s="4">
        <v>95</v>
      </c>
    </row>
    <row r="244" spans="6:33" ht="12.75">
      <c r="F244"/>
      <c r="G244"/>
      <c r="H244"/>
      <c r="I244"/>
      <c r="J244"/>
      <c r="K244"/>
      <c r="L244"/>
      <c r="AA244" s="218" t="s">
        <v>388</v>
      </c>
      <c r="AB244" s="218" t="s">
        <v>95</v>
      </c>
      <c r="AC244" s="218">
        <v>1</v>
      </c>
      <c r="AD244" s="218">
        <v>4000</v>
      </c>
      <c r="AE244" s="4" t="s">
        <v>389</v>
      </c>
      <c r="AF244" s="4" t="s">
        <v>340</v>
      </c>
      <c r="AG244" s="4">
        <v>93</v>
      </c>
    </row>
    <row r="245" spans="6:33" ht="12.75">
      <c r="F245"/>
      <c r="G245"/>
      <c r="H245"/>
      <c r="I245"/>
      <c r="J245"/>
      <c r="K245"/>
      <c r="L245"/>
      <c r="AA245" s="218" t="s">
        <v>388</v>
      </c>
      <c r="AB245" s="218" t="s">
        <v>387</v>
      </c>
      <c r="AC245" s="218">
        <v>1</v>
      </c>
      <c r="AD245" s="218">
        <v>4000</v>
      </c>
      <c r="AE245" s="4"/>
      <c r="AF245" s="4"/>
      <c r="AG245" s="4"/>
    </row>
    <row r="246" spans="6:33" ht="12.75">
      <c r="F246"/>
      <c r="G246"/>
      <c r="H246"/>
      <c r="I246"/>
      <c r="J246"/>
      <c r="K246"/>
      <c r="L246"/>
      <c r="AA246" s="218" t="s">
        <v>386</v>
      </c>
      <c r="AB246" s="218" t="s">
        <v>387</v>
      </c>
      <c r="AC246" s="218">
        <v>2</v>
      </c>
      <c r="AD246" s="218">
        <v>4500</v>
      </c>
      <c r="AE246" s="4" t="s">
        <v>343</v>
      </c>
      <c r="AF246" s="4" t="s">
        <v>390</v>
      </c>
      <c r="AG246" s="4">
        <v>91</v>
      </c>
    </row>
    <row r="247" spans="6:33" ht="12.75">
      <c r="F247"/>
      <c r="G247"/>
      <c r="H247"/>
      <c r="I247"/>
      <c r="J247"/>
      <c r="K247"/>
      <c r="L247"/>
      <c r="AA247" s="218" t="s">
        <v>391</v>
      </c>
      <c r="AB247" s="218" t="s">
        <v>392</v>
      </c>
      <c r="AC247" s="218">
        <v>1</v>
      </c>
      <c r="AD247" s="218">
        <v>4500</v>
      </c>
      <c r="AE247" s="4" t="s">
        <v>343</v>
      </c>
      <c r="AF247" s="4" t="s">
        <v>393</v>
      </c>
      <c r="AG247" s="4">
        <v>90</v>
      </c>
    </row>
    <row r="248" spans="6:33" ht="12.75">
      <c r="F248"/>
      <c r="G248"/>
      <c r="H248"/>
      <c r="I248"/>
      <c r="J248"/>
      <c r="K248"/>
      <c r="L248"/>
      <c r="AA248" s="218" t="s">
        <v>394</v>
      </c>
      <c r="AB248" s="218" t="s">
        <v>375</v>
      </c>
      <c r="AC248" s="218">
        <v>1</v>
      </c>
      <c r="AD248" s="218">
        <v>3800</v>
      </c>
      <c r="AE248" s="4" t="s">
        <v>343</v>
      </c>
      <c r="AF248" s="4" t="s">
        <v>348</v>
      </c>
      <c r="AG248" s="4">
        <v>88</v>
      </c>
    </row>
    <row r="249" spans="6:33" ht="12.75">
      <c r="F249"/>
      <c r="G249"/>
      <c r="H249"/>
      <c r="I249"/>
      <c r="J249"/>
      <c r="K249"/>
      <c r="L249"/>
      <c r="AA249" s="218" t="s">
        <v>391</v>
      </c>
      <c r="AB249" s="218" t="s">
        <v>375</v>
      </c>
      <c r="AC249" s="218">
        <v>2</v>
      </c>
      <c r="AD249" s="218">
        <v>5000</v>
      </c>
      <c r="AE249" s="4" t="s">
        <v>343</v>
      </c>
      <c r="AF249" s="4" t="s">
        <v>353</v>
      </c>
      <c r="AG249" s="4">
        <v>88</v>
      </c>
    </row>
    <row r="250" spans="6:33" ht="12.75">
      <c r="F250"/>
      <c r="G250"/>
      <c r="H250"/>
      <c r="I250"/>
      <c r="J250"/>
      <c r="K250"/>
      <c r="L250"/>
      <c r="AA250" s="218" t="s">
        <v>382</v>
      </c>
      <c r="AB250" s="218" t="s">
        <v>375</v>
      </c>
      <c r="AC250" s="218">
        <v>1</v>
      </c>
      <c r="AD250" s="218">
        <v>3800</v>
      </c>
      <c r="AE250" s="4" t="s">
        <v>333</v>
      </c>
      <c r="AF250" s="4" t="s">
        <v>395</v>
      </c>
      <c r="AG250" s="4">
        <v>88</v>
      </c>
    </row>
    <row r="251" spans="6:33" ht="12.75">
      <c r="F251"/>
      <c r="G251"/>
      <c r="H251"/>
      <c r="I251"/>
      <c r="J251"/>
      <c r="K251"/>
      <c r="L251"/>
      <c r="AA251" s="218" t="s">
        <v>391</v>
      </c>
      <c r="AB251" s="218" t="s">
        <v>375</v>
      </c>
      <c r="AC251" s="218">
        <v>1</v>
      </c>
      <c r="AD251" s="218">
        <v>5500</v>
      </c>
      <c r="AE251" s="4" t="s">
        <v>343</v>
      </c>
      <c r="AF251" s="4" t="s">
        <v>396</v>
      </c>
      <c r="AG251" s="4">
        <v>87</v>
      </c>
    </row>
    <row r="252" spans="6:33" ht="12.75">
      <c r="F252"/>
      <c r="G252"/>
      <c r="H252"/>
      <c r="I252"/>
      <c r="J252"/>
      <c r="K252"/>
      <c r="L252"/>
      <c r="AA252" s="218" t="s">
        <v>397</v>
      </c>
      <c r="AB252" s="218" t="s">
        <v>392</v>
      </c>
      <c r="AC252" s="218">
        <v>1</v>
      </c>
      <c r="AD252" s="218">
        <v>4000</v>
      </c>
      <c r="AE252" s="4" t="s">
        <v>343</v>
      </c>
      <c r="AF252" s="4" t="s">
        <v>398</v>
      </c>
      <c r="AG252" s="4">
        <v>87</v>
      </c>
    </row>
    <row r="253" spans="6:33" ht="12.75">
      <c r="F253"/>
      <c r="G253"/>
      <c r="H253"/>
      <c r="I253"/>
      <c r="J253"/>
      <c r="K253"/>
      <c r="L253"/>
      <c r="AA253" s="218" t="s">
        <v>382</v>
      </c>
      <c r="AB253" s="218" t="s">
        <v>392</v>
      </c>
      <c r="AC253" s="218">
        <v>1</v>
      </c>
      <c r="AD253" s="218">
        <v>3500</v>
      </c>
      <c r="AE253" s="4" t="s">
        <v>343</v>
      </c>
      <c r="AF253" s="4" t="s">
        <v>393</v>
      </c>
      <c r="AG253" s="4">
        <v>87</v>
      </c>
    </row>
    <row r="254" spans="6:33" ht="12.75">
      <c r="F254"/>
      <c r="G254"/>
      <c r="H254"/>
      <c r="I254"/>
      <c r="J254"/>
      <c r="K254"/>
      <c r="L254"/>
      <c r="AA254" s="218" t="s">
        <v>391</v>
      </c>
      <c r="AB254" s="218" t="s">
        <v>6</v>
      </c>
      <c r="AC254" s="218">
        <v>1</v>
      </c>
      <c r="AD254" s="218">
        <v>5500</v>
      </c>
      <c r="AE254" s="4" t="s">
        <v>399</v>
      </c>
      <c r="AF254" s="4" t="s">
        <v>400</v>
      </c>
      <c r="AG254" s="4">
        <v>85</v>
      </c>
    </row>
    <row r="255" spans="6:33" ht="12.75">
      <c r="F255"/>
      <c r="G255"/>
      <c r="H255"/>
      <c r="I255"/>
      <c r="J255"/>
      <c r="K255"/>
      <c r="L255"/>
      <c r="AA255" s="218" t="s">
        <v>401</v>
      </c>
      <c r="AB255" s="218" t="s">
        <v>375</v>
      </c>
      <c r="AC255" s="218">
        <v>1</v>
      </c>
      <c r="AD255" s="218">
        <v>4500</v>
      </c>
      <c r="AE255" s="4" t="s">
        <v>402</v>
      </c>
      <c r="AF255" s="4" t="s">
        <v>348</v>
      </c>
      <c r="AG255" s="4">
        <v>85</v>
      </c>
    </row>
    <row r="256" spans="6:33" ht="12.75">
      <c r="F256"/>
      <c r="G256"/>
      <c r="H256"/>
      <c r="I256"/>
      <c r="J256"/>
      <c r="K256"/>
      <c r="L256"/>
      <c r="AA256" s="218" t="s">
        <v>386</v>
      </c>
      <c r="AB256" s="218" t="s">
        <v>6</v>
      </c>
      <c r="AC256" s="218">
        <v>8</v>
      </c>
      <c r="AD256" s="218">
        <v>4500</v>
      </c>
      <c r="AE256" s="4" t="s">
        <v>333</v>
      </c>
      <c r="AF256" s="4" t="s">
        <v>357</v>
      </c>
      <c r="AG256" s="4">
        <v>84</v>
      </c>
    </row>
    <row r="257" spans="6:33" ht="12.75">
      <c r="F257"/>
      <c r="G257"/>
      <c r="H257"/>
      <c r="I257"/>
      <c r="J257"/>
      <c r="K257"/>
      <c r="L257"/>
      <c r="AA257" s="218" t="s">
        <v>394</v>
      </c>
      <c r="AB257" s="218" t="s">
        <v>375</v>
      </c>
      <c r="AC257" s="218">
        <v>1</v>
      </c>
      <c r="AD257" s="218">
        <v>4000</v>
      </c>
      <c r="AE257" s="4" t="s">
        <v>333</v>
      </c>
      <c r="AF257" s="4" t="s">
        <v>297</v>
      </c>
      <c r="AG257" s="4">
        <v>84</v>
      </c>
    </row>
    <row r="258" spans="6:33" ht="12.75">
      <c r="F258"/>
      <c r="G258"/>
      <c r="H258"/>
      <c r="I258"/>
      <c r="J258"/>
      <c r="K258"/>
      <c r="L258"/>
      <c r="AA258" s="218" t="s">
        <v>394</v>
      </c>
      <c r="AB258" s="218"/>
      <c r="AC258" s="218">
        <v>1</v>
      </c>
      <c r="AD258" s="218">
        <v>4000</v>
      </c>
      <c r="AE258" s="4" t="s">
        <v>333</v>
      </c>
      <c r="AF258" s="4" t="s">
        <v>297</v>
      </c>
      <c r="AG258" s="4">
        <v>84</v>
      </c>
    </row>
    <row r="259" spans="6:33" ht="12.75">
      <c r="F259"/>
      <c r="G259"/>
      <c r="H259"/>
      <c r="I259"/>
      <c r="J259"/>
      <c r="K259"/>
      <c r="L259"/>
      <c r="AA259" s="218" t="s">
        <v>403</v>
      </c>
      <c r="AB259" s="218" t="s">
        <v>387</v>
      </c>
      <c r="AC259" s="218">
        <v>1</v>
      </c>
      <c r="AD259" s="218">
        <v>3500</v>
      </c>
      <c r="AE259" s="4" t="s">
        <v>379</v>
      </c>
      <c r="AF259" s="4" t="s">
        <v>404</v>
      </c>
      <c r="AG259" s="4">
        <v>84</v>
      </c>
    </row>
    <row r="260" spans="6:33" ht="12.75">
      <c r="F260"/>
      <c r="G260"/>
      <c r="H260"/>
      <c r="I260"/>
      <c r="J260"/>
      <c r="K260"/>
      <c r="L260"/>
      <c r="AA260" s="218" t="s">
        <v>386</v>
      </c>
      <c r="AB260" s="218" t="s">
        <v>6</v>
      </c>
      <c r="AC260" s="218">
        <v>8</v>
      </c>
      <c r="AD260" s="218">
        <v>4500</v>
      </c>
      <c r="AE260" s="4" t="s">
        <v>333</v>
      </c>
      <c r="AF260" s="4" t="s">
        <v>357</v>
      </c>
      <c r="AG260" s="4">
        <v>81</v>
      </c>
    </row>
    <row r="261" spans="6:33" ht="12.75">
      <c r="F261"/>
      <c r="G261"/>
      <c r="H261"/>
      <c r="I261"/>
      <c r="J261"/>
      <c r="K261"/>
      <c r="L261"/>
      <c r="AA261" s="218" t="s">
        <v>405</v>
      </c>
      <c r="AB261" s="218" t="s">
        <v>375</v>
      </c>
      <c r="AC261" s="218">
        <v>2</v>
      </c>
      <c r="AD261" s="218">
        <v>4000</v>
      </c>
      <c r="AE261" s="4" t="s">
        <v>406</v>
      </c>
      <c r="AF261" s="4" t="s">
        <v>404</v>
      </c>
      <c r="AG261" s="4">
        <v>81</v>
      </c>
    </row>
    <row r="262" spans="6:33" ht="12.75">
      <c r="F262"/>
      <c r="G262"/>
      <c r="H262"/>
      <c r="I262"/>
      <c r="J262"/>
      <c r="K262"/>
      <c r="L262"/>
      <c r="AA262" s="218" t="s">
        <v>407</v>
      </c>
      <c r="AB262" s="218" t="s">
        <v>375</v>
      </c>
      <c r="AC262" s="218">
        <v>3</v>
      </c>
      <c r="AD262" s="218">
        <v>3500</v>
      </c>
      <c r="AE262" s="4" t="s">
        <v>333</v>
      </c>
      <c r="AF262" s="4" t="s">
        <v>350</v>
      </c>
      <c r="AG262" s="4">
        <v>81</v>
      </c>
    </row>
    <row r="263" spans="6:33" ht="12.75">
      <c r="F263"/>
      <c r="G263"/>
      <c r="H263"/>
      <c r="I263"/>
      <c r="J263"/>
      <c r="K263"/>
      <c r="L263"/>
      <c r="AA263" s="218" t="s">
        <v>408</v>
      </c>
      <c r="AB263" s="218" t="s">
        <v>375</v>
      </c>
      <c r="AC263" s="218">
        <v>4</v>
      </c>
      <c r="AD263" s="218">
        <v>3000</v>
      </c>
      <c r="AE263" s="4" t="s">
        <v>333</v>
      </c>
      <c r="AF263" s="4" t="s">
        <v>355</v>
      </c>
      <c r="AG263" s="4">
        <v>81</v>
      </c>
    </row>
    <row r="264" spans="6:33" ht="12.75">
      <c r="F264"/>
      <c r="G264"/>
      <c r="H264"/>
      <c r="I264"/>
      <c r="J264"/>
      <c r="K264"/>
      <c r="L264"/>
      <c r="AA264" s="218" t="s">
        <v>405</v>
      </c>
      <c r="AB264" s="218" t="s">
        <v>375</v>
      </c>
      <c r="AC264" s="218">
        <v>3</v>
      </c>
      <c r="AD264" s="218">
        <v>3900</v>
      </c>
      <c r="AE264" s="4" t="s">
        <v>333</v>
      </c>
      <c r="AF264" s="4" t="s">
        <v>409</v>
      </c>
      <c r="AG264" s="4" t="s">
        <v>410</v>
      </c>
    </row>
    <row r="265" spans="6:33" ht="12.75">
      <c r="F265"/>
      <c r="G265"/>
      <c r="H265"/>
      <c r="I265"/>
      <c r="J265"/>
      <c r="K265"/>
      <c r="L265"/>
      <c r="AA265" s="218" t="s">
        <v>405</v>
      </c>
      <c r="AB265" s="218" t="s">
        <v>375</v>
      </c>
      <c r="AC265" s="218">
        <v>2</v>
      </c>
      <c r="AD265" s="218">
        <v>4000</v>
      </c>
      <c r="AE265" s="4" t="s">
        <v>333</v>
      </c>
      <c r="AF265" s="4" t="s">
        <v>411</v>
      </c>
      <c r="AG265" s="4" t="s">
        <v>412</v>
      </c>
    </row>
    <row r="266" spans="6:33" ht="12.75">
      <c r="F266"/>
      <c r="G266"/>
      <c r="H266"/>
      <c r="I266"/>
      <c r="J266"/>
      <c r="K266"/>
      <c r="L266"/>
      <c r="AA266" s="218" t="s">
        <v>397</v>
      </c>
      <c r="AB266" s="218" t="s">
        <v>375</v>
      </c>
      <c r="AC266" s="218">
        <v>2</v>
      </c>
      <c r="AD266" s="218">
        <v>4800</v>
      </c>
      <c r="AE266" s="4" t="s">
        <v>413</v>
      </c>
      <c r="AF266" s="4" t="s">
        <v>411</v>
      </c>
      <c r="AG266" s="4">
        <v>80</v>
      </c>
    </row>
    <row r="267" spans="6:33" ht="12.75">
      <c r="F267"/>
      <c r="G267"/>
      <c r="H267"/>
      <c r="I267"/>
      <c r="J267"/>
      <c r="K267"/>
      <c r="L267"/>
      <c r="AA267" s="218" t="s">
        <v>414</v>
      </c>
      <c r="AB267" s="218" t="s">
        <v>6</v>
      </c>
      <c r="AC267" s="218">
        <v>1</v>
      </c>
      <c r="AD267" s="218">
        <v>5000</v>
      </c>
      <c r="AE267" s="4" t="s">
        <v>356</v>
      </c>
      <c r="AF267" s="4" t="s">
        <v>357</v>
      </c>
      <c r="AG267" s="4">
        <v>80</v>
      </c>
    </row>
    <row r="268" spans="6:33" ht="12.75">
      <c r="F268"/>
      <c r="G268"/>
      <c r="H268"/>
      <c r="I268"/>
      <c r="J268"/>
      <c r="K268"/>
      <c r="L268"/>
      <c r="AA268" s="218" t="s">
        <v>391</v>
      </c>
      <c r="AB268" s="218" t="s">
        <v>6</v>
      </c>
      <c r="AC268" s="218">
        <v>2</v>
      </c>
      <c r="AD268" s="218">
        <v>5500</v>
      </c>
      <c r="AE268" s="4" t="s">
        <v>333</v>
      </c>
      <c r="AF268" s="4" t="s">
        <v>395</v>
      </c>
      <c r="AG268" s="4">
        <v>79</v>
      </c>
    </row>
    <row r="269" spans="6:33" ht="12.75">
      <c r="F269"/>
      <c r="G269"/>
      <c r="H269"/>
      <c r="I269"/>
      <c r="J269"/>
      <c r="K269"/>
      <c r="L269"/>
      <c r="AA269" s="218" t="s">
        <v>397</v>
      </c>
      <c r="AB269" s="218" t="s">
        <v>375</v>
      </c>
      <c r="AC269" s="218">
        <v>2</v>
      </c>
      <c r="AD269" s="218">
        <v>4800</v>
      </c>
      <c r="AE269" s="4" t="s">
        <v>413</v>
      </c>
      <c r="AF269" s="4" t="s">
        <v>411</v>
      </c>
      <c r="AG269" s="4">
        <v>79</v>
      </c>
    </row>
    <row r="270" spans="6:33" ht="12.75">
      <c r="F270"/>
      <c r="G270"/>
      <c r="H270"/>
      <c r="I270"/>
      <c r="J270"/>
      <c r="K270"/>
      <c r="L270"/>
      <c r="AA270" s="218" t="s">
        <v>386</v>
      </c>
      <c r="AB270" s="218" t="s">
        <v>6</v>
      </c>
      <c r="AC270" s="218">
        <v>2</v>
      </c>
      <c r="AD270" s="218">
        <v>4600</v>
      </c>
      <c r="AE270" s="4" t="s">
        <v>333</v>
      </c>
      <c r="AF270" s="4" t="s">
        <v>395</v>
      </c>
      <c r="AG270" s="4">
        <v>79</v>
      </c>
    </row>
    <row r="271" spans="6:33" ht="12.75">
      <c r="F271"/>
      <c r="G271"/>
      <c r="H271"/>
      <c r="I271"/>
      <c r="J271"/>
      <c r="K271"/>
      <c r="L271"/>
      <c r="AA271" s="218" t="s">
        <v>386</v>
      </c>
      <c r="AB271" s="218" t="s">
        <v>392</v>
      </c>
      <c r="AC271" s="218">
        <v>2</v>
      </c>
      <c r="AD271" s="218">
        <v>4600</v>
      </c>
      <c r="AE271" s="4" t="s">
        <v>406</v>
      </c>
      <c r="AF271" s="4" t="s">
        <v>346</v>
      </c>
      <c r="AG271" s="4">
        <v>79</v>
      </c>
    </row>
    <row r="272" spans="6:33" ht="12.75">
      <c r="F272"/>
      <c r="G272"/>
      <c r="H272"/>
      <c r="I272"/>
      <c r="J272"/>
      <c r="K272"/>
      <c r="L272"/>
      <c r="AA272" s="218" t="s">
        <v>394</v>
      </c>
      <c r="AB272" s="218" t="s">
        <v>375</v>
      </c>
      <c r="AC272" s="218">
        <v>4</v>
      </c>
      <c r="AD272" s="218">
        <v>4025</v>
      </c>
      <c r="AE272" s="4" t="s">
        <v>333</v>
      </c>
      <c r="AF272" s="4" t="s">
        <v>364</v>
      </c>
      <c r="AG272" s="4">
        <v>79</v>
      </c>
    </row>
    <row r="273" spans="6:33" ht="12.75">
      <c r="F273"/>
      <c r="G273"/>
      <c r="H273"/>
      <c r="I273"/>
      <c r="J273"/>
      <c r="K273"/>
      <c r="L273"/>
      <c r="AA273" s="218" t="s">
        <v>407</v>
      </c>
      <c r="AB273" s="218" t="s">
        <v>387</v>
      </c>
      <c r="AC273" s="218">
        <v>3</v>
      </c>
      <c r="AD273" s="218">
        <v>4025</v>
      </c>
      <c r="AE273" s="4" t="s">
        <v>333</v>
      </c>
      <c r="AF273" s="4" t="s">
        <v>297</v>
      </c>
      <c r="AG273" s="4">
        <v>79</v>
      </c>
    </row>
    <row r="274" spans="6:33" ht="12.75">
      <c r="F274"/>
      <c r="G274"/>
      <c r="H274"/>
      <c r="I274"/>
      <c r="J274"/>
      <c r="K274"/>
      <c r="L274"/>
      <c r="AA274" s="218" t="s">
        <v>408</v>
      </c>
      <c r="AB274" s="218" t="s">
        <v>387</v>
      </c>
      <c r="AC274" s="218">
        <v>1</v>
      </c>
      <c r="AD274" s="218">
        <v>4025</v>
      </c>
      <c r="AE274" s="4" t="s">
        <v>333</v>
      </c>
      <c r="AF274" s="4" t="s">
        <v>297</v>
      </c>
      <c r="AG274" s="4">
        <v>79</v>
      </c>
    </row>
    <row r="275" spans="6:33" ht="12.75">
      <c r="F275"/>
      <c r="G275"/>
      <c r="H275"/>
      <c r="I275"/>
      <c r="J275"/>
      <c r="K275"/>
      <c r="L275"/>
      <c r="AA275" s="218" t="s">
        <v>397</v>
      </c>
      <c r="AB275" s="218" t="s">
        <v>6</v>
      </c>
      <c r="AC275" s="218">
        <v>1</v>
      </c>
      <c r="AD275" s="218">
        <v>6000</v>
      </c>
      <c r="AE275" s="4" t="s">
        <v>343</v>
      </c>
      <c r="AF275" s="4" t="s">
        <v>411</v>
      </c>
      <c r="AG275" s="4">
        <v>78</v>
      </c>
    </row>
    <row r="276" spans="6:33" ht="12.75">
      <c r="F276"/>
      <c r="G276"/>
      <c r="H276"/>
      <c r="I276"/>
      <c r="J276"/>
      <c r="K276"/>
      <c r="L276"/>
      <c r="AA276" s="218" t="s">
        <v>415</v>
      </c>
      <c r="AB276" s="218"/>
      <c r="AC276" s="218">
        <v>4</v>
      </c>
      <c r="AD276" s="218">
        <v>4025</v>
      </c>
      <c r="AE276" s="4" t="s">
        <v>333</v>
      </c>
      <c r="AF276" s="4" t="s">
        <v>416</v>
      </c>
      <c r="AG276" s="4">
        <v>77</v>
      </c>
    </row>
    <row r="277" spans="6:33" ht="12.75">
      <c r="F277"/>
      <c r="G277"/>
      <c r="H277"/>
      <c r="I277"/>
      <c r="J277"/>
      <c r="K277"/>
      <c r="L277"/>
      <c r="AA277" s="218" t="s">
        <v>417</v>
      </c>
      <c r="AB277" s="218" t="s">
        <v>375</v>
      </c>
      <c r="AC277" s="218">
        <v>3</v>
      </c>
      <c r="AD277" s="218">
        <v>6000</v>
      </c>
      <c r="AE277" s="4" t="s">
        <v>418</v>
      </c>
      <c r="AF277" s="4" t="s">
        <v>301</v>
      </c>
      <c r="AG277" s="4">
        <v>76</v>
      </c>
    </row>
    <row r="278" spans="6:33" ht="12.75">
      <c r="F278"/>
      <c r="G278"/>
      <c r="H278"/>
      <c r="I278"/>
      <c r="J278"/>
      <c r="K278"/>
      <c r="L278"/>
      <c r="AA278" s="218" t="s">
        <v>417</v>
      </c>
      <c r="AB278" s="218" t="s">
        <v>375</v>
      </c>
      <c r="AC278" s="218">
        <v>3</v>
      </c>
      <c r="AD278" s="218">
        <v>6000</v>
      </c>
      <c r="AE278" s="4" t="s">
        <v>418</v>
      </c>
      <c r="AF278" s="4" t="s">
        <v>297</v>
      </c>
      <c r="AG278" s="4">
        <v>76</v>
      </c>
    </row>
    <row r="279" spans="6:33" ht="12.75">
      <c r="F279"/>
      <c r="G279"/>
      <c r="H279"/>
      <c r="I279"/>
      <c r="J279"/>
      <c r="K279"/>
      <c r="L279"/>
      <c r="AA279" s="218" t="s">
        <v>383</v>
      </c>
      <c r="AB279" s="218" t="s">
        <v>392</v>
      </c>
      <c r="AC279" s="218">
        <v>1</v>
      </c>
      <c r="AD279" s="218">
        <v>5200</v>
      </c>
      <c r="AE279" s="4" t="s">
        <v>349</v>
      </c>
      <c r="AF279" s="4" t="s">
        <v>357</v>
      </c>
      <c r="AG279" s="4">
        <v>76</v>
      </c>
    </row>
    <row r="280" spans="6:33" ht="12.75">
      <c r="F280"/>
      <c r="G280"/>
      <c r="H280"/>
      <c r="I280"/>
      <c r="J280"/>
      <c r="K280"/>
      <c r="L280"/>
      <c r="AA280" s="218" t="s">
        <v>385</v>
      </c>
      <c r="AB280" s="218" t="s">
        <v>375</v>
      </c>
      <c r="AC280" s="218">
        <v>2</v>
      </c>
      <c r="AD280" s="218">
        <v>5000</v>
      </c>
      <c r="AE280" s="4" t="s">
        <v>333</v>
      </c>
      <c r="AF280" s="4" t="s">
        <v>409</v>
      </c>
      <c r="AG280" s="4">
        <v>76</v>
      </c>
    </row>
    <row r="281" spans="6:33" ht="12.75">
      <c r="F281"/>
      <c r="G281"/>
      <c r="H281"/>
      <c r="I281"/>
      <c r="J281"/>
      <c r="K281"/>
      <c r="L281"/>
      <c r="AA281" s="218" t="s">
        <v>391</v>
      </c>
      <c r="AB281" s="218" t="s">
        <v>392</v>
      </c>
      <c r="AC281" s="218">
        <v>1</v>
      </c>
      <c r="AD281" s="218">
        <v>4600</v>
      </c>
      <c r="AE281" s="4" t="s">
        <v>333</v>
      </c>
      <c r="AF281" s="4" t="s">
        <v>419</v>
      </c>
      <c r="AG281" s="4">
        <v>75</v>
      </c>
    </row>
    <row r="282" spans="6:33" ht="12.75">
      <c r="F282"/>
      <c r="G282"/>
      <c r="H282"/>
      <c r="I282"/>
      <c r="J282"/>
      <c r="K282"/>
      <c r="L282"/>
      <c r="AA282" s="218" t="s">
        <v>391</v>
      </c>
      <c r="AB282" s="218" t="s">
        <v>392</v>
      </c>
      <c r="AC282" s="218">
        <v>1</v>
      </c>
      <c r="AD282" s="218">
        <v>5000</v>
      </c>
      <c r="AE282" s="4" t="s">
        <v>333</v>
      </c>
      <c r="AF282" s="4" t="s">
        <v>300</v>
      </c>
      <c r="AG282" s="4">
        <v>75</v>
      </c>
    </row>
    <row r="283" spans="6:33" ht="12.75">
      <c r="F283"/>
      <c r="G283"/>
      <c r="H283"/>
      <c r="I283"/>
      <c r="J283"/>
      <c r="K283"/>
      <c r="L283"/>
      <c r="AA283" s="218" t="s">
        <v>388</v>
      </c>
      <c r="AB283" s="218" t="s">
        <v>6</v>
      </c>
      <c r="AC283" s="218">
        <v>2</v>
      </c>
      <c r="AD283" s="218">
        <v>4000</v>
      </c>
      <c r="AE283" s="4" t="s">
        <v>333</v>
      </c>
      <c r="AF283" s="4" t="s">
        <v>357</v>
      </c>
      <c r="AG283" s="4">
        <v>75</v>
      </c>
    </row>
    <row r="284" spans="6:33" ht="12.75">
      <c r="F284"/>
      <c r="G284"/>
      <c r="H284"/>
      <c r="I284"/>
      <c r="J284"/>
      <c r="K284"/>
      <c r="L284"/>
      <c r="AA284" s="218" t="s">
        <v>388</v>
      </c>
      <c r="AB284" s="218" t="s">
        <v>6</v>
      </c>
      <c r="AC284" s="218">
        <v>10</v>
      </c>
      <c r="AD284" s="218">
        <v>4000</v>
      </c>
      <c r="AE284" s="4" t="s">
        <v>351</v>
      </c>
      <c r="AF284" s="4" t="s">
        <v>357</v>
      </c>
      <c r="AG284" s="4">
        <v>75</v>
      </c>
    </row>
    <row r="285" spans="6:33" ht="12.75">
      <c r="F285"/>
      <c r="G285"/>
      <c r="H285"/>
      <c r="I285"/>
      <c r="J285"/>
      <c r="K285"/>
      <c r="L285"/>
      <c r="AA285" s="218" t="s">
        <v>388</v>
      </c>
      <c r="AB285" s="218" t="s">
        <v>375</v>
      </c>
      <c r="AC285" s="218">
        <v>2</v>
      </c>
      <c r="AD285" s="218">
        <v>4025</v>
      </c>
      <c r="AE285" s="4" t="s">
        <v>356</v>
      </c>
      <c r="AF285" s="4" t="s">
        <v>357</v>
      </c>
      <c r="AG285" s="4">
        <v>75</v>
      </c>
    </row>
    <row r="286" spans="6:33" ht="12.75">
      <c r="F286"/>
      <c r="G286"/>
      <c r="H286"/>
      <c r="I286"/>
      <c r="J286"/>
      <c r="K286"/>
      <c r="L286"/>
      <c r="AA286" s="218" t="s">
        <v>397</v>
      </c>
      <c r="AB286" s="218" t="s">
        <v>392</v>
      </c>
      <c r="AC286" s="218">
        <v>2</v>
      </c>
      <c r="AD286" s="218">
        <v>4000</v>
      </c>
      <c r="AE286" s="4" t="s">
        <v>349</v>
      </c>
      <c r="AF286" s="4" t="s">
        <v>301</v>
      </c>
      <c r="AG286" s="4">
        <v>74</v>
      </c>
    </row>
    <row r="287" spans="6:33" ht="12.75">
      <c r="F287"/>
      <c r="G287"/>
      <c r="H287"/>
      <c r="I287"/>
      <c r="J287"/>
      <c r="K287"/>
      <c r="L287"/>
      <c r="AA287" s="218" t="s">
        <v>397</v>
      </c>
      <c r="AB287" s="218" t="s">
        <v>6</v>
      </c>
      <c r="AC287" s="218">
        <v>2</v>
      </c>
      <c r="AD287" s="218">
        <v>5000</v>
      </c>
      <c r="AE287" s="4" t="s">
        <v>333</v>
      </c>
      <c r="AF287" s="4" t="s">
        <v>395</v>
      </c>
      <c r="AG287" s="4">
        <v>74</v>
      </c>
    </row>
    <row r="288" spans="6:33" ht="12.75">
      <c r="F288"/>
      <c r="G288"/>
      <c r="H288"/>
      <c r="I288"/>
      <c r="J288"/>
      <c r="K288"/>
      <c r="L288"/>
      <c r="AA288" s="218" t="s">
        <v>386</v>
      </c>
      <c r="AB288" s="218" t="s">
        <v>6</v>
      </c>
      <c r="AC288" s="218">
        <v>8</v>
      </c>
      <c r="AD288" s="218">
        <v>4500</v>
      </c>
      <c r="AE288" s="4" t="s">
        <v>333</v>
      </c>
      <c r="AF288" s="4" t="s">
        <v>342</v>
      </c>
      <c r="AG288" s="4">
        <v>74</v>
      </c>
    </row>
    <row r="289" spans="6:33" ht="12.75">
      <c r="F289"/>
      <c r="G289"/>
      <c r="H289"/>
      <c r="I289"/>
      <c r="J289"/>
      <c r="K289"/>
      <c r="L289"/>
      <c r="AA289" s="218" t="s">
        <v>382</v>
      </c>
      <c r="AB289" s="218" t="s">
        <v>387</v>
      </c>
      <c r="AC289" s="218">
        <v>2</v>
      </c>
      <c r="AD289" s="218">
        <v>4000</v>
      </c>
      <c r="AE289" s="4" t="s">
        <v>333</v>
      </c>
      <c r="AF289" s="4" t="s">
        <v>411</v>
      </c>
      <c r="AG289" s="4">
        <v>74</v>
      </c>
    </row>
    <row r="290" spans="6:33" ht="12.75">
      <c r="F290"/>
      <c r="G290"/>
      <c r="H290"/>
      <c r="I290"/>
      <c r="J290"/>
      <c r="K290"/>
      <c r="L290"/>
      <c r="AA290" s="218" t="s">
        <v>403</v>
      </c>
      <c r="AB290" s="218" t="s">
        <v>375</v>
      </c>
      <c r="AC290" s="218">
        <v>8</v>
      </c>
      <c r="AD290" s="218">
        <v>3000</v>
      </c>
      <c r="AE290" s="4" t="s">
        <v>351</v>
      </c>
      <c r="AF290" s="4" t="s">
        <v>344</v>
      </c>
      <c r="AG290" s="4">
        <v>74</v>
      </c>
    </row>
    <row r="291" spans="6:33" ht="12.75">
      <c r="F291"/>
      <c r="G291"/>
      <c r="H291"/>
      <c r="I291"/>
      <c r="J291"/>
      <c r="K291"/>
      <c r="L291"/>
      <c r="AA291" s="218" t="s">
        <v>382</v>
      </c>
      <c r="AB291" s="218" t="s">
        <v>375</v>
      </c>
      <c r="AC291" s="218">
        <v>3</v>
      </c>
      <c r="AD291" s="218">
        <v>3000</v>
      </c>
      <c r="AE291" s="4" t="s">
        <v>333</v>
      </c>
      <c r="AF291" s="4" t="s">
        <v>395</v>
      </c>
      <c r="AG291" s="4">
        <v>73</v>
      </c>
    </row>
    <row r="292" spans="6:33" ht="12.75">
      <c r="F292"/>
      <c r="G292"/>
      <c r="H292"/>
      <c r="I292"/>
      <c r="J292"/>
      <c r="K292"/>
      <c r="L292"/>
      <c r="AA292" s="218" t="s">
        <v>382</v>
      </c>
      <c r="AB292" s="218" t="s">
        <v>375</v>
      </c>
      <c r="AC292" s="218">
        <v>3</v>
      </c>
      <c r="AD292" s="218">
        <v>3000</v>
      </c>
      <c r="AE292" s="4" t="s">
        <v>333</v>
      </c>
      <c r="AF292" s="4" t="s">
        <v>395</v>
      </c>
      <c r="AG292" s="4">
        <v>73</v>
      </c>
    </row>
    <row r="293" spans="6:33" ht="12.75">
      <c r="F293"/>
      <c r="G293"/>
      <c r="H293"/>
      <c r="I293"/>
      <c r="J293"/>
      <c r="K293"/>
      <c r="L293"/>
      <c r="AA293" s="218" t="s">
        <v>420</v>
      </c>
      <c r="AB293" s="218" t="s">
        <v>392</v>
      </c>
      <c r="AC293" s="218">
        <v>1</v>
      </c>
      <c r="AD293" s="218">
        <v>4000</v>
      </c>
      <c r="AE293" s="4" t="s">
        <v>379</v>
      </c>
      <c r="AF293" s="4" t="s">
        <v>380</v>
      </c>
      <c r="AG293" s="4">
        <v>73</v>
      </c>
    </row>
    <row r="294" spans="6:33" ht="12.75">
      <c r="F294"/>
      <c r="G294"/>
      <c r="H294"/>
      <c r="I294"/>
      <c r="J294"/>
      <c r="K294"/>
      <c r="L294"/>
      <c r="AA294" s="218" t="s">
        <v>382</v>
      </c>
      <c r="AB294" s="218" t="s">
        <v>387</v>
      </c>
      <c r="AC294" s="218">
        <v>1</v>
      </c>
      <c r="AD294" s="218">
        <v>4000</v>
      </c>
      <c r="AE294" s="4" t="s">
        <v>333</v>
      </c>
      <c r="AF294" s="4" t="s">
        <v>411</v>
      </c>
      <c r="AG294" s="4">
        <v>73</v>
      </c>
    </row>
    <row r="295" spans="6:33" ht="12.75">
      <c r="F295"/>
      <c r="G295"/>
      <c r="H295"/>
      <c r="I295"/>
      <c r="J295"/>
      <c r="K295"/>
      <c r="L295"/>
      <c r="AA295" s="218" t="s">
        <v>382</v>
      </c>
      <c r="AB295" s="218" t="s">
        <v>387</v>
      </c>
      <c r="AC295" s="218">
        <v>1</v>
      </c>
      <c r="AD295" s="218">
        <v>4000</v>
      </c>
      <c r="AE295" s="4" t="s">
        <v>333</v>
      </c>
      <c r="AF295" s="4" t="s">
        <v>411</v>
      </c>
      <c r="AG295" s="4">
        <v>73</v>
      </c>
    </row>
    <row r="296" spans="6:33" ht="12.75">
      <c r="F296"/>
      <c r="G296"/>
      <c r="H296"/>
      <c r="I296"/>
      <c r="J296"/>
      <c r="K296"/>
      <c r="L296"/>
      <c r="AA296" s="218" t="s">
        <v>403</v>
      </c>
      <c r="AB296" s="218" t="s">
        <v>375</v>
      </c>
      <c r="AC296" s="218">
        <v>2</v>
      </c>
      <c r="AD296" s="218">
        <v>3500</v>
      </c>
      <c r="AE296" s="4" t="s">
        <v>333</v>
      </c>
      <c r="AF296" s="4" t="s">
        <v>411</v>
      </c>
      <c r="AG296" s="4">
        <v>73</v>
      </c>
    </row>
    <row r="297" spans="6:33" ht="12.75">
      <c r="F297"/>
      <c r="G297"/>
      <c r="H297"/>
      <c r="I297"/>
      <c r="J297"/>
      <c r="K297"/>
      <c r="L297"/>
      <c r="AA297" s="218" t="s">
        <v>421</v>
      </c>
      <c r="AB297" s="218" t="s">
        <v>392</v>
      </c>
      <c r="AC297" s="218">
        <v>2</v>
      </c>
      <c r="AD297" s="218">
        <v>3000</v>
      </c>
      <c r="AE297" s="4" t="s">
        <v>379</v>
      </c>
      <c r="AF297" s="4" t="s">
        <v>422</v>
      </c>
      <c r="AG297" s="4">
        <v>73</v>
      </c>
    </row>
    <row r="298" spans="6:33" ht="12.75">
      <c r="F298"/>
      <c r="G298"/>
      <c r="H298"/>
      <c r="I298"/>
      <c r="J298"/>
      <c r="K298"/>
      <c r="L298"/>
      <c r="AA298" s="218" t="s">
        <v>383</v>
      </c>
      <c r="AB298" s="218" t="s">
        <v>392</v>
      </c>
      <c r="AC298" s="218">
        <v>1</v>
      </c>
      <c r="AD298" s="218">
        <v>5200</v>
      </c>
      <c r="AE298" s="4" t="s">
        <v>349</v>
      </c>
      <c r="AF298" s="4" t="s">
        <v>357</v>
      </c>
      <c r="AG298" s="4">
        <v>72</v>
      </c>
    </row>
    <row r="299" spans="6:33" ht="12.75">
      <c r="F299"/>
      <c r="G299"/>
      <c r="H299"/>
      <c r="I299"/>
      <c r="J299"/>
      <c r="K299"/>
      <c r="L299"/>
      <c r="AA299" s="218" t="s">
        <v>397</v>
      </c>
      <c r="AB299" s="218" t="s">
        <v>6</v>
      </c>
      <c r="AC299" s="218">
        <v>1</v>
      </c>
      <c r="AD299" s="218">
        <v>4500</v>
      </c>
      <c r="AE299" s="4" t="s">
        <v>356</v>
      </c>
      <c r="AF299" s="4" t="s">
        <v>348</v>
      </c>
      <c r="AG299" s="4">
        <v>72</v>
      </c>
    </row>
    <row r="300" spans="6:33" ht="12.75">
      <c r="F300"/>
      <c r="G300"/>
      <c r="H300"/>
      <c r="I300"/>
      <c r="J300"/>
      <c r="K300"/>
      <c r="L300"/>
      <c r="AA300" s="218" t="s">
        <v>403</v>
      </c>
      <c r="AB300" s="218" t="s">
        <v>375</v>
      </c>
      <c r="AC300" s="218">
        <v>4</v>
      </c>
      <c r="AD300" s="218">
        <v>3500</v>
      </c>
      <c r="AE300" s="4" t="s">
        <v>333</v>
      </c>
      <c r="AF300" s="4" t="s">
        <v>295</v>
      </c>
      <c r="AG300" s="4">
        <v>72</v>
      </c>
    </row>
    <row r="301" spans="6:33" ht="12.75">
      <c r="F301"/>
      <c r="G301"/>
      <c r="H301"/>
      <c r="I301"/>
      <c r="J301"/>
      <c r="K301"/>
      <c r="L301"/>
      <c r="AA301" s="218" t="s">
        <v>408</v>
      </c>
      <c r="AB301" s="218" t="s">
        <v>6</v>
      </c>
      <c r="AC301" s="218">
        <v>1</v>
      </c>
      <c r="AD301" s="218">
        <v>3000</v>
      </c>
      <c r="AE301" s="4" t="s">
        <v>333</v>
      </c>
      <c r="AF301" s="4" t="s">
        <v>411</v>
      </c>
      <c r="AG301" s="4">
        <v>72</v>
      </c>
    </row>
    <row r="302" spans="6:33" ht="12.75">
      <c r="F302"/>
      <c r="G302"/>
      <c r="H302"/>
      <c r="I302"/>
      <c r="J302"/>
      <c r="K302"/>
      <c r="L302"/>
      <c r="AA302" s="218" t="s">
        <v>423</v>
      </c>
      <c r="AB302" s="218" t="s">
        <v>6</v>
      </c>
      <c r="AC302" s="218">
        <v>2</v>
      </c>
      <c r="AD302" s="218">
        <v>2750</v>
      </c>
      <c r="AE302" s="4" t="s">
        <v>333</v>
      </c>
      <c r="AF302" s="4" t="s">
        <v>395</v>
      </c>
      <c r="AG302" s="4">
        <v>71</v>
      </c>
    </row>
    <row r="303" spans="6:33" ht="12.75">
      <c r="F303"/>
      <c r="G303"/>
      <c r="H303"/>
      <c r="I303"/>
      <c r="J303"/>
      <c r="K303"/>
      <c r="L303"/>
      <c r="AA303" s="218" t="s">
        <v>397</v>
      </c>
      <c r="AB303" s="218" t="s">
        <v>375</v>
      </c>
      <c r="AC303" s="218">
        <v>2</v>
      </c>
      <c r="AD303" s="218">
        <v>5000</v>
      </c>
      <c r="AE303" s="4" t="s">
        <v>356</v>
      </c>
      <c r="AF303" s="4" t="s">
        <v>377</v>
      </c>
      <c r="AG303" s="4">
        <v>71</v>
      </c>
    </row>
    <row r="304" spans="6:33" ht="12.75">
      <c r="F304"/>
      <c r="G304"/>
      <c r="H304"/>
      <c r="I304"/>
      <c r="J304"/>
      <c r="K304"/>
      <c r="L304"/>
      <c r="AA304" s="218" t="s">
        <v>403</v>
      </c>
      <c r="AB304" s="218" t="s">
        <v>375</v>
      </c>
      <c r="AC304" s="218">
        <v>1</v>
      </c>
      <c r="AD304" s="218">
        <v>3200</v>
      </c>
      <c r="AE304" s="4" t="s">
        <v>333</v>
      </c>
      <c r="AF304" s="4" t="s">
        <v>395</v>
      </c>
      <c r="AG304" s="4">
        <v>71</v>
      </c>
    </row>
    <row r="305" spans="6:33" ht="12.75">
      <c r="F305"/>
      <c r="G305"/>
      <c r="H305"/>
      <c r="I305"/>
      <c r="J305"/>
      <c r="K305"/>
      <c r="L305"/>
      <c r="AA305" s="218" t="s">
        <v>408</v>
      </c>
      <c r="AB305" s="218" t="s">
        <v>375</v>
      </c>
      <c r="AC305" s="218">
        <v>2</v>
      </c>
      <c r="AD305" s="218">
        <v>3000</v>
      </c>
      <c r="AE305" s="4" t="s">
        <v>333</v>
      </c>
      <c r="AF305" s="4" t="s">
        <v>352</v>
      </c>
      <c r="AG305" s="4">
        <v>71</v>
      </c>
    </row>
    <row r="306" spans="6:33" ht="12.75">
      <c r="F306"/>
      <c r="G306"/>
      <c r="H306"/>
      <c r="I306"/>
      <c r="J306"/>
      <c r="K306"/>
      <c r="L306"/>
      <c r="AA306" s="218" t="s">
        <v>424</v>
      </c>
      <c r="AB306" s="218" t="s">
        <v>6</v>
      </c>
      <c r="AC306" s="218">
        <v>2</v>
      </c>
      <c r="AD306" s="218">
        <v>2750</v>
      </c>
      <c r="AE306" s="4"/>
      <c r="AF306" s="4"/>
      <c r="AG306" s="4">
        <v>71</v>
      </c>
    </row>
    <row r="307" spans="6:33" ht="12.75">
      <c r="F307"/>
      <c r="G307"/>
      <c r="H307"/>
      <c r="I307"/>
      <c r="J307"/>
      <c r="K307"/>
      <c r="L307"/>
      <c r="AA307" s="218" t="s">
        <v>425</v>
      </c>
      <c r="AB307" s="218" t="s">
        <v>392</v>
      </c>
      <c r="AC307" s="218">
        <v>1</v>
      </c>
      <c r="AD307" s="218">
        <v>2000</v>
      </c>
      <c r="AE307" s="4" t="s">
        <v>333</v>
      </c>
      <c r="AF307" s="4" t="s">
        <v>355</v>
      </c>
      <c r="AG307" s="4">
        <v>70</v>
      </c>
    </row>
    <row r="308" spans="6:33" ht="12.75">
      <c r="F308"/>
      <c r="G308"/>
      <c r="H308"/>
      <c r="I308"/>
      <c r="J308"/>
      <c r="K308"/>
      <c r="L308"/>
      <c r="AA308" s="218" t="s">
        <v>397</v>
      </c>
      <c r="AB308" s="218" t="s">
        <v>392</v>
      </c>
      <c r="AC308" s="218">
        <v>1</v>
      </c>
      <c r="AD308" s="218">
        <v>4000</v>
      </c>
      <c r="AE308" s="4" t="s">
        <v>349</v>
      </c>
      <c r="AF308" s="4" t="s">
        <v>301</v>
      </c>
      <c r="AG308" s="4">
        <v>70</v>
      </c>
    </row>
    <row r="309" spans="6:33" ht="12.75">
      <c r="F309"/>
      <c r="G309"/>
      <c r="H309"/>
      <c r="I309"/>
      <c r="J309"/>
      <c r="K309"/>
      <c r="L309"/>
      <c r="AA309" s="218" t="s">
        <v>408</v>
      </c>
      <c r="AB309" s="218" t="s">
        <v>375</v>
      </c>
      <c r="AC309" s="218">
        <v>16</v>
      </c>
      <c r="AD309" s="218">
        <v>3000</v>
      </c>
      <c r="AE309" s="4" t="s">
        <v>333</v>
      </c>
      <c r="AF309" s="4" t="s">
        <v>352</v>
      </c>
      <c r="AG309" s="4">
        <v>68</v>
      </c>
    </row>
    <row r="310" spans="6:33" ht="12.75">
      <c r="F310"/>
      <c r="G310"/>
      <c r="H310"/>
      <c r="I310"/>
      <c r="J310"/>
      <c r="K310"/>
      <c r="L310"/>
      <c r="AA310" s="218" t="s">
        <v>424</v>
      </c>
      <c r="AB310" s="218" t="s">
        <v>375</v>
      </c>
      <c r="AC310" s="218">
        <v>2</v>
      </c>
      <c r="AD310" s="218">
        <v>3000</v>
      </c>
      <c r="AE310" s="4" t="s">
        <v>356</v>
      </c>
      <c r="AF310" s="4" t="s">
        <v>426</v>
      </c>
      <c r="AG310" s="4">
        <v>67</v>
      </c>
    </row>
    <row r="311" spans="6:33" ht="12.75">
      <c r="F311"/>
      <c r="G311"/>
      <c r="H311"/>
      <c r="I311"/>
      <c r="J311"/>
      <c r="K311"/>
      <c r="L311"/>
      <c r="AA311" s="218" t="s">
        <v>388</v>
      </c>
      <c r="AB311" s="218" t="s">
        <v>375</v>
      </c>
      <c r="AC311" s="218">
        <v>2</v>
      </c>
      <c r="AD311" s="218">
        <v>3500</v>
      </c>
      <c r="AE311" s="4" t="s">
        <v>418</v>
      </c>
      <c r="AF311" s="4" t="s">
        <v>357</v>
      </c>
      <c r="AG311" s="4"/>
    </row>
    <row r="312" spans="6:33" ht="12.75">
      <c r="F312"/>
      <c r="G312"/>
      <c r="H312"/>
      <c r="I312"/>
      <c r="J312"/>
      <c r="K312"/>
      <c r="L312"/>
      <c r="AA312" s="218" t="s">
        <v>420</v>
      </c>
      <c r="AB312" s="218" t="s">
        <v>6</v>
      </c>
      <c r="AC312" s="218">
        <v>4</v>
      </c>
      <c r="AD312" s="218">
        <v>4000</v>
      </c>
      <c r="AE312" s="4" t="s">
        <v>333</v>
      </c>
      <c r="AF312" s="4" t="s">
        <v>395</v>
      </c>
      <c r="AG312" s="4"/>
    </row>
    <row r="313" spans="6:33" ht="12.75">
      <c r="F313"/>
      <c r="G313"/>
      <c r="H313"/>
      <c r="I313"/>
      <c r="J313"/>
      <c r="K313"/>
      <c r="L313"/>
      <c r="AA313" s="218" t="s">
        <v>381</v>
      </c>
      <c r="AB313" s="218"/>
      <c r="AC313" s="218">
        <v>180</v>
      </c>
      <c r="AD313" s="218"/>
      <c r="AE313" s="4"/>
      <c r="AF313" s="4"/>
      <c r="AG313" s="4"/>
    </row>
    <row r="314" spans="6:33" ht="12.75">
      <c r="F314"/>
      <c r="G314"/>
      <c r="H314"/>
      <c r="I314"/>
      <c r="J314"/>
      <c r="K314"/>
      <c r="L314"/>
      <c r="AA314" s="218"/>
      <c r="AB314" s="218"/>
      <c r="AC314" s="218"/>
      <c r="AD314" s="218"/>
      <c r="AE314" s="4"/>
      <c r="AF314" s="4"/>
      <c r="AG314" s="4"/>
    </row>
    <row r="315" spans="6:33" ht="12.75">
      <c r="F315"/>
      <c r="G315"/>
      <c r="H315"/>
      <c r="I315"/>
      <c r="J315"/>
      <c r="K315"/>
      <c r="L315"/>
      <c r="AA315" s="218" t="s">
        <v>427</v>
      </c>
      <c r="AB315" s="218" t="s">
        <v>95</v>
      </c>
      <c r="AC315" s="218">
        <v>1</v>
      </c>
      <c r="AD315" s="218">
        <v>4500</v>
      </c>
      <c r="AE315" s="4" t="s">
        <v>343</v>
      </c>
      <c r="AF315" s="4" t="s">
        <v>346</v>
      </c>
      <c r="AG315" s="4">
        <v>95</v>
      </c>
    </row>
    <row r="316" spans="6:33" ht="12.75">
      <c r="F316"/>
      <c r="G316"/>
      <c r="H316"/>
      <c r="I316"/>
      <c r="J316"/>
      <c r="K316"/>
      <c r="L316"/>
      <c r="AA316" s="218" t="s">
        <v>428</v>
      </c>
      <c r="AB316" s="218" t="s">
        <v>387</v>
      </c>
      <c r="AC316" s="218">
        <v>1</v>
      </c>
      <c r="AD316" s="218">
        <v>4500</v>
      </c>
      <c r="AE316" s="4" t="s">
        <v>343</v>
      </c>
      <c r="AF316" s="4" t="s">
        <v>398</v>
      </c>
      <c r="AG316" s="4">
        <v>94</v>
      </c>
    </row>
    <row r="317" spans="6:33" ht="12.75">
      <c r="F317"/>
      <c r="G317"/>
      <c r="H317"/>
      <c r="I317"/>
      <c r="J317"/>
      <c r="K317"/>
      <c r="L317"/>
      <c r="AA317" s="218" t="s">
        <v>429</v>
      </c>
      <c r="AB317" s="218" t="s">
        <v>375</v>
      </c>
      <c r="AC317" s="218">
        <v>2</v>
      </c>
      <c r="AD317" s="218">
        <v>3200</v>
      </c>
      <c r="AE317" s="4" t="s">
        <v>343</v>
      </c>
      <c r="AF317" s="4" t="s">
        <v>398</v>
      </c>
      <c r="AG317" s="4" t="s">
        <v>430</v>
      </c>
    </row>
    <row r="318" spans="6:33" ht="12.75">
      <c r="F318"/>
      <c r="G318"/>
      <c r="H318"/>
      <c r="I318"/>
      <c r="J318"/>
      <c r="K318"/>
      <c r="L318"/>
      <c r="AA318" s="218" t="s">
        <v>431</v>
      </c>
      <c r="AB318" s="218" t="s">
        <v>375</v>
      </c>
      <c r="AC318" s="218">
        <v>1</v>
      </c>
      <c r="AD318" s="218">
        <v>3500</v>
      </c>
      <c r="AE318" s="4" t="s">
        <v>343</v>
      </c>
      <c r="AF318" s="4" t="s">
        <v>346</v>
      </c>
      <c r="AG318" s="4">
        <v>85</v>
      </c>
    </row>
    <row r="319" spans="6:33" ht="12.75">
      <c r="F319"/>
      <c r="G319"/>
      <c r="H319"/>
      <c r="I319"/>
      <c r="J319"/>
      <c r="K319"/>
      <c r="L319"/>
      <c r="AA319" s="218" t="s">
        <v>432</v>
      </c>
      <c r="AB319" s="218" t="s">
        <v>375</v>
      </c>
      <c r="AC319" s="218">
        <v>2</v>
      </c>
      <c r="AD319" s="218">
        <v>3000</v>
      </c>
      <c r="AE319" s="4" t="s">
        <v>333</v>
      </c>
      <c r="AF319" s="4" t="s">
        <v>344</v>
      </c>
      <c r="AG319" s="4">
        <v>83</v>
      </c>
    </row>
    <row r="320" spans="6:33" ht="12.75">
      <c r="F320"/>
      <c r="G320"/>
      <c r="H320"/>
      <c r="I320"/>
      <c r="J320"/>
      <c r="K320"/>
      <c r="L320"/>
      <c r="AA320" s="218" t="s">
        <v>433</v>
      </c>
      <c r="AB320" s="218" t="s">
        <v>375</v>
      </c>
      <c r="AC320" s="218">
        <v>1</v>
      </c>
      <c r="AD320" s="218">
        <v>2750</v>
      </c>
      <c r="AE320" s="4" t="s">
        <v>379</v>
      </c>
      <c r="AF320" s="4" t="s">
        <v>364</v>
      </c>
      <c r="AG320" s="4">
        <v>80</v>
      </c>
    </row>
    <row r="321" spans="6:33" ht="12.75">
      <c r="F321"/>
      <c r="G321"/>
      <c r="H321"/>
      <c r="I321"/>
      <c r="J321"/>
      <c r="K321"/>
      <c r="L321"/>
      <c r="AA321" s="218" t="s">
        <v>434</v>
      </c>
      <c r="AB321" s="218" t="s">
        <v>375</v>
      </c>
      <c r="AC321" s="218">
        <v>1</v>
      </c>
      <c r="AD321" s="218">
        <v>6800</v>
      </c>
      <c r="AE321" s="4" t="s">
        <v>435</v>
      </c>
      <c r="AF321" s="4" t="s">
        <v>296</v>
      </c>
      <c r="AG321" s="4"/>
    </row>
    <row r="322" spans="6:33" ht="12.75">
      <c r="F322"/>
      <c r="G322"/>
      <c r="H322"/>
      <c r="I322"/>
      <c r="J322"/>
      <c r="K322"/>
      <c r="L322"/>
      <c r="AA322" s="218" t="s">
        <v>433</v>
      </c>
      <c r="AB322" s="218"/>
      <c r="AC322" s="218">
        <v>1</v>
      </c>
      <c r="AD322" s="218">
        <v>2750</v>
      </c>
      <c r="AE322" s="4" t="s">
        <v>379</v>
      </c>
      <c r="AF322" s="4" t="s">
        <v>436</v>
      </c>
      <c r="AG322" s="4">
        <v>79</v>
      </c>
    </row>
    <row r="323" spans="6:33" ht="12.75">
      <c r="F323"/>
      <c r="G323"/>
      <c r="H323"/>
      <c r="I323"/>
      <c r="J323"/>
      <c r="K323"/>
      <c r="L323"/>
      <c r="AA323" s="218" t="s">
        <v>433</v>
      </c>
      <c r="AB323" s="218" t="s">
        <v>375</v>
      </c>
      <c r="AC323" s="218">
        <v>1</v>
      </c>
      <c r="AD323" s="218">
        <v>3200</v>
      </c>
      <c r="AE323" s="4" t="s">
        <v>437</v>
      </c>
      <c r="AF323" s="4" t="s">
        <v>438</v>
      </c>
      <c r="AG323" s="4">
        <v>76</v>
      </c>
    </row>
    <row r="324" spans="6:33" ht="12.75">
      <c r="F324"/>
      <c r="G324"/>
      <c r="H324"/>
      <c r="I324"/>
      <c r="J324"/>
      <c r="K324"/>
      <c r="L324"/>
      <c r="AA324" s="218" t="s">
        <v>433</v>
      </c>
      <c r="AB324" s="218" t="s">
        <v>375</v>
      </c>
      <c r="AC324" s="218">
        <v>1</v>
      </c>
      <c r="AD324" s="218">
        <v>3200</v>
      </c>
      <c r="AE324" s="4"/>
      <c r="AF324" s="4" t="s">
        <v>439</v>
      </c>
      <c r="AG324" s="4">
        <v>76</v>
      </c>
    </row>
    <row r="325" spans="6:33" ht="12.75">
      <c r="F325"/>
      <c r="G325"/>
      <c r="H325"/>
      <c r="I325"/>
      <c r="J325"/>
      <c r="K325"/>
      <c r="L325"/>
      <c r="AA325" s="218" t="s">
        <v>440</v>
      </c>
      <c r="AB325" s="218" t="s">
        <v>375</v>
      </c>
      <c r="AC325" s="218">
        <v>3</v>
      </c>
      <c r="AD325" s="218">
        <v>3500</v>
      </c>
      <c r="AE325" s="4" t="s">
        <v>333</v>
      </c>
      <c r="AF325" s="4" t="s">
        <v>411</v>
      </c>
      <c r="AG325" s="4">
        <v>74</v>
      </c>
    </row>
    <row r="326" spans="6:33" ht="12.75">
      <c r="F326"/>
      <c r="G326"/>
      <c r="H326"/>
      <c r="I326"/>
      <c r="J326"/>
      <c r="K326"/>
      <c r="L326"/>
      <c r="AA326" s="218" t="s">
        <v>441</v>
      </c>
      <c r="AB326" s="218" t="s">
        <v>375</v>
      </c>
      <c r="AC326" s="218">
        <v>3</v>
      </c>
      <c r="AD326" s="218">
        <v>4000</v>
      </c>
      <c r="AE326" s="4" t="s">
        <v>356</v>
      </c>
      <c r="AF326" s="4" t="s">
        <v>377</v>
      </c>
      <c r="AG326" s="4">
        <v>68</v>
      </c>
    </row>
    <row r="327" spans="6:33" ht="12.75">
      <c r="F327"/>
      <c r="G327"/>
      <c r="H327"/>
      <c r="I327"/>
      <c r="J327"/>
      <c r="K327"/>
      <c r="L327"/>
      <c r="AA327" s="218" t="s">
        <v>440</v>
      </c>
      <c r="AB327" s="218" t="s">
        <v>375</v>
      </c>
      <c r="AC327" s="218">
        <v>2</v>
      </c>
      <c r="AD327" s="218">
        <v>3400</v>
      </c>
      <c r="AE327" s="4" t="s">
        <v>333</v>
      </c>
      <c r="AF327" s="4" t="s">
        <v>442</v>
      </c>
      <c r="AG327" s="4"/>
    </row>
  </sheetData>
  <printOptions horizontalCentered="1" verticalCentered="1"/>
  <pageMargins left="1.1811023622047245" right="0.9448818897637796" top="0.984251968503937" bottom="0.984251968503937" header="0.5118110236220472" footer="0.5118110236220472"/>
  <pageSetup fitToHeight="2" fitToWidth="1" horizontalDpi="300" verticalDpi="300" orientation="portrait" paperSize="9" scale="34" r:id="rId1"/>
  <headerFooter alignWithMargins="0">
    <oddHeader xml:space="preserve">&amp;C  </oddHeader>
    <oddFooter>&amp;L           &amp;A &amp;F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Zeros="0" zoomScale="75" zoomScaleNormal="75" workbookViewId="0" topLeftCell="A1">
      <selection activeCell="I40" sqref="I40"/>
    </sheetView>
  </sheetViews>
  <sheetFormatPr defaultColWidth="9.140625" defaultRowHeight="12.75"/>
  <cols>
    <col min="1" max="1" width="28.7109375" style="0" customWidth="1"/>
    <col min="2" max="2" width="8.00390625" style="0" customWidth="1"/>
    <col min="3" max="3" width="9.8515625" style="0" customWidth="1"/>
    <col min="4" max="4" width="14.140625" style="0" customWidth="1"/>
    <col min="5" max="5" width="9.28125" style="0" customWidth="1"/>
    <col min="6" max="6" width="10.140625" style="0" customWidth="1"/>
    <col min="7" max="7" width="10.28125" style="0" customWidth="1"/>
  </cols>
  <sheetData>
    <row r="1" spans="1:17" ht="18" customHeight="1" thickBot="1" thickTop="1">
      <c r="A1" s="241" t="s">
        <v>0</v>
      </c>
      <c r="B1" s="478"/>
      <c r="C1" s="476"/>
      <c r="D1" s="477"/>
      <c r="E1" s="240" t="s">
        <v>1</v>
      </c>
      <c r="F1" s="430"/>
      <c r="Q1" s="2"/>
    </row>
    <row r="2" spans="1:19" ht="18" customHeight="1">
      <c r="A2" s="485" t="s">
        <v>7</v>
      </c>
      <c r="B2" s="486"/>
      <c r="C2" s="491" t="s">
        <v>8</v>
      </c>
      <c r="D2" s="489"/>
      <c r="E2" s="490"/>
      <c r="F2" s="492"/>
      <c r="J2" s="596" t="s">
        <v>5</v>
      </c>
      <c r="K2" s="597" t="s">
        <v>495</v>
      </c>
      <c r="L2" s="597" t="s">
        <v>317</v>
      </c>
      <c r="M2" s="597" t="s">
        <v>13</v>
      </c>
      <c r="N2" s="597" t="s">
        <v>496</v>
      </c>
      <c r="O2" s="597" t="s">
        <v>12</v>
      </c>
      <c r="P2" s="598" t="s">
        <v>497</v>
      </c>
      <c r="Q2" s="598" t="s">
        <v>498</v>
      </c>
      <c r="R2" s="599" t="s">
        <v>499</v>
      </c>
      <c r="S2" s="596" t="s">
        <v>239</v>
      </c>
    </row>
    <row r="3" spans="1:19" ht="18" customHeight="1">
      <c r="A3" s="493"/>
      <c r="B3" s="541" t="s">
        <v>9</v>
      </c>
      <c r="C3" s="533"/>
      <c r="D3" s="480"/>
      <c r="E3" s="124" t="s">
        <v>10</v>
      </c>
      <c r="F3" s="237"/>
      <c r="J3" s="588">
        <f>B33</f>
        <v>0</v>
      </c>
      <c r="K3" s="589"/>
      <c r="L3" s="590">
        <f>B34</f>
        <v>0</v>
      </c>
      <c r="M3" s="589" t="s">
        <v>502</v>
      </c>
      <c r="N3" s="591">
        <f>F43</f>
        <v>0</v>
      </c>
      <c r="O3" s="589" t="s">
        <v>500</v>
      </c>
      <c r="P3" s="592">
        <f>L3*(11.7*(J3)-13.9)+N3</f>
        <v>0</v>
      </c>
      <c r="Q3" s="593">
        <f>P3*3/2.2</f>
        <v>0</v>
      </c>
      <c r="R3" s="594"/>
      <c r="S3" s="595">
        <f>F57</f>
        <v>0</v>
      </c>
    </row>
    <row r="4" spans="1:17" ht="18" customHeight="1">
      <c r="A4" s="538"/>
      <c r="B4" s="542" t="s">
        <v>20</v>
      </c>
      <c r="C4" s="488"/>
      <c r="D4" s="481"/>
      <c r="E4" s="124" t="s">
        <v>21</v>
      </c>
      <c r="F4" s="238"/>
      <c r="I4" s="1"/>
      <c r="J4" s="1"/>
      <c r="K4" s="1"/>
      <c r="L4" s="1"/>
      <c r="M4" s="1"/>
      <c r="Q4" s="2"/>
    </row>
    <row r="5" spans="1:17" ht="18" customHeight="1" thickBot="1">
      <c r="A5" s="60"/>
      <c r="B5" s="494" t="s">
        <v>25</v>
      </c>
      <c r="C5" s="479">
        <v>1</v>
      </c>
      <c r="D5" s="474"/>
      <c r="E5" s="236" t="s">
        <v>26</v>
      </c>
      <c r="F5" s="239"/>
      <c r="G5" s="1"/>
      <c r="H5" s="1"/>
      <c r="I5" s="1"/>
      <c r="J5" s="1"/>
      <c r="K5" s="1"/>
      <c r="L5" s="1"/>
      <c r="M5" s="1"/>
      <c r="Q5" s="2"/>
    </row>
    <row r="6" spans="1:17" ht="21.75" thickBot="1" thickTop="1">
      <c r="A6" s="426" t="s">
        <v>443</v>
      </c>
      <c r="B6" s="427"/>
      <c r="C6" s="427"/>
      <c r="D6" s="427"/>
      <c r="E6" s="427"/>
      <c r="F6" s="428"/>
      <c r="G6" s="13"/>
      <c r="H6" s="1"/>
      <c r="I6" s="1"/>
      <c r="J6" s="1"/>
      <c r="K6" s="1"/>
      <c r="L6" s="1"/>
      <c r="M6" s="1"/>
      <c r="Q6" s="2"/>
    </row>
    <row r="7" spans="1:17" ht="16.5" customHeight="1">
      <c r="A7" s="34"/>
      <c r="B7" s="5"/>
      <c r="C7" s="5"/>
      <c r="D7" s="9"/>
      <c r="E7" s="9"/>
      <c r="F7" s="246"/>
      <c r="G7" s="9"/>
      <c r="H7" s="2"/>
      <c r="K7" s="1"/>
      <c r="L7" s="1"/>
      <c r="M7" s="1"/>
      <c r="Q7" s="2"/>
    </row>
    <row r="8" spans="1:14" ht="12.75">
      <c r="A8" s="446" t="s">
        <v>41</v>
      </c>
      <c r="B8" s="431"/>
      <c r="C8" s="49"/>
      <c r="D8" s="5"/>
      <c r="E8" s="54"/>
      <c r="F8" s="36"/>
      <c r="G8" s="12"/>
      <c r="H8" s="9"/>
      <c r="K8" s="1"/>
      <c r="L8" s="1"/>
      <c r="M8" s="1"/>
      <c r="N8" s="1"/>
    </row>
    <row r="9" spans="1:14" ht="12.75">
      <c r="A9" s="35" t="s">
        <v>44</v>
      </c>
      <c r="B9" s="436"/>
      <c r="C9" s="71"/>
      <c r="D9" s="75"/>
      <c r="E9" s="52"/>
      <c r="F9" s="36"/>
      <c r="G9" s="12"/>
      <c r="H9" s="9"/>
      <c r="I9" s="9"/>
      <c r="J9" s="9"/>
      <c r="K9" s="1"/>
      <c r="L9" s="1"/>
      <c r="M9" s="1"/>
      <c r="N9" s="1"/>
    </row>
    <row r="10" spans="1:11" ht="15.75">
      <c r="A10" s="72" t="s">
        <v>444</v>
      </c>
      <c r="B10" s="431"/>
      <c r="C10" s="49"/>
      <c r="D10" s="75"/>
      <c r="E10" s="19"/>
      <c r="F10" s="37"/>
      <c r="G10" s="9"/>
      <c r="H10" s="2"/>
      <c r="K10" s="2"/>
    </row>
    <row r="11" spans="1:14" ht="15" customHeight="1">
      <c r="A11" s="72" t="s">
        <v>445</v>
      </c>
      <c r="B11" s="431"/>
      <c r="C11" s="49"/>
      <c r="D11" s="73"/>
      <c r="E11" s="19"/>
      <c r="F11" s="38"/>
      <c r="K11" s="2"/>
      <c r="L11" s="2"/>
      <c r="M11" s="2"/>
      <c r="N11" s="2"/>
    </row>
    <row r="12" spans="1:14" ht="12.75">
      <c r="A12" s="72" t="s">
        <v>64</v>
      </c>
      <c r="B12" s="436"/>
      <c r="C12" s="376" t="s">
        <v>469</v>
      </c>
      <c r="D12" s="546"/>
      <c r="E12" s="52"/>
      <c r="F12" s="77"/>
      <c r="K12" s="2"/>
      <c r="L12" s="2"/>
      <c r="M12" s="2"/>
      <c r="N12" s="2"/>
    </row>
    <row r="13" spans="1:6" ht="12.75">
      <c r="A13" s="35" t="s">
        <v>228</v>
      </c>
      <c r="B13" s="431"/>
      <c r="C13" s="129"/>
      <c r="D13" s="145"/>
      <c r="E13" s="147"/>
      <c r="F13" s="146"/>
    </row>
    <row r="14" spans="1:8" ht="5.25" customHeight="1">
      <c r="A14" s="34"/>
      <c r="B14" s="9"/>
      <c r="C14" s="138"/>
      <c r="D14" s="134"/>
      <c r="E14" s="147"/>
      <c r="F14" s="146"/>
      <c r="H14" s="2"/>
    </row>
    <row r="15" spans="1:8" ht="12.75">
      <c r="A15" s="115" t="s">
        <v>230</v>
      </c>
      <c r="B15" s="288"/>
      <c r="C15" s="125"/>
      <c r="D15" s="148" t="s">
        <v>231</v>
      </c>
      <c r="E15" s="147" t="s">
        <v>78</v>
      </c>
      <c r="F15" s="146"/>
      <c r="H15" s="2"/>
    </row>
    <row r="16" spans="1:8" ht="12.75">
      <c r="A16" s="48" t="s">
        <v>232</v>
      </c>
      <c r="B16" s="431"/>
      <c r="C16" s="138"/>
      <c r="D16" s="149" t="s">
        <v>82</v>
      </c>
      <c r="E16" s="150">
        <f>IF(B16&gt;0,IF(B16=2,1.3,1),1)</f>
        <v>1</v>
      </c>
      <c r="F16" s="151"/>
      <c r="H16" s="2"/>
    </row>
    <row r="17" spans="1:8" ht="12.75">
      <c r="A17" s="48" t="s">
        <v>233</v>
      </c>
      <c r="B17" s="431"/>
      <c r="C17" s="138"/>
      <c r="D17" s="149" t="s">
        <v>234</v>
      </c>
      <c r="E17" s="150">
        <f>IF(B17&gt;0,IF(B17=1,1.2,1),1)</f>
        <v>1</v>
      </c>
      <c r="F17" s="151"/>
      <c r="H17" s="2"/>
    </row>
    <row r="18" spans="1:8" ht="12.75">
      <c r="A18" s="48" t="s">
        <v>235</v>
      </c>
      <c r="B18" s="431"/>
      <c r="C18" s="125"/>
      <c r="D18" s="149" t="s">
        <v>86</v>
      </c>
      <c r="E18" s="150">
        <f>IF(F33&gt;0,IF(F33&gt;3.81,1,(2.44/F33)^0.2),1)</f>
        <v>1</v>
      </c>
      <c r="F18" s="151"/>
      <c r="G18" s="150">
        <f>IF(F34&gt;0,IF(F34&gt;3.81,0.914,(2.44/F34)^0.2),1)</f>
        <v>1</v>
      </c>
      <c r="H18" t="s">
        <v>468</v>
      </c>
    </row>
    <row r="19" spans="1:8" ht="12.75">
      <c r="A19" s="34"/>
      <c r="B19" s="11"/>
      <c r="C19" s="129"/>
      <c r="D19" s="149" t="s">
        <v>88</v>
      </c>
      <c r="E19" s="150">
        <f>IF(B12&gt;0,IF(B10&lt;4000*(13/(B12/1.103))^0.5,1,1+(B12/1.103-7)*((B10/(4000*(13/(B12/1.103))^0.5))-1)/(B10/B11)),1)</f>
        <v>1</v>
      </c>
      <c r="F19" s="151"/>
      <c r="G19" s="9"/>
      <c r="H19" s="4"/>
    </row>
    <row r="20" spans="1:15" ht="12.75">
      <c r="A20" s="34"/>
      <c r="B20" s="11"/>
      <c r="C20" s="129"/>
      <c r="D20" s="149" t="s">
        <v>90</v>
      </c>
      <c r="E20" s="150">
        <f>IF(B11&gt;0,IF(B11&lt;75,(B11+10.3)/(1.145*B11),1),1)</f>
        <v>1</v>
      </c>
      <c r="F20" s="133"/>
      <c r="N20" s="281">
        <f>IF(B11&gt;0,B10/B11,)</f>
        <v>0</v>
      </c>
      <c r="O20" s="282" t="s">
        <v>91</v>
      </c>
    </row>
    <row r="21" spans="1:15" ht="12.75">
      <c r="A21" s="34"/>
      <c r="B21" s="5"/>
      <c r="C21" s="129"/>
      <c r="D21" s="149" t="s">
        <v>237</v>
      </c>
      <c r="E21" s="274">
        <v>1</v>
      </c>
      <c r="F21" s="133"/>
      <c r="N21" s="272" t="e">
        <f>8+5*(B34-0.15)/B33</f>
        <v>#DIV/0!</v>
      </c>
      <c r="O21" s="283" t="s">
        <v>94</v>
      </c>
    </row>
    <row r="22" spans="1:15" ht="12.75">
      <c r="A22" s="40"/>
      <c r="B22" s="5"/>
      <c r="C22" s="125"/>
      <c r="D22" s="149" t="s">
        <v>96</v>
      </c>
      <c r="E22" s="150">
        <f>IF(B11&gt;0,IF(N20&lt;6,IF(N20&gt;1.35,1+0.26/(2*(N20-1.35)),"Too low"),1),1)</f>
        <v>1</v>
      </c>
      <c r="F22" s="151"/>
      <c r="N22" s="284" t="e">
        <f>N20-N21</f>
        <v>#DIV/0!</v>
      </c>
      <c r="O22" s="285" t="s">
        <v>236</v>
      </c>
    </row>
    <row r="23" spans="1:8" ht="12.75">
      <c r="A23" s="40"/>
      <c r="B23" s="5"/>
      <c r="C23" s="125"/>
      <c r="D23" s="152" t="s">
        <v>99</v>
      </c>
      <c r="E23" s="280">
        <v>1</v>
      </c>
      <c r="F23" s="154"/>
      <c r="G23" s="104"/>
      <c r="H23" s="4"/>
    </row>
    <row r="24" spans="1:8" ht="12.75">
      <c r="A24" s="34"/>
      <c r="B24" s="5"/>
      <c r="C24" s="125"/>
      <c r="D24" s="155" t="s">
        <v>102</v>
      </c>
      <c r="E24" s="156">
        <f>E16*E17*E18*E19*E20*E21*E22*E23</f>
        <v>1</v>
      </c>
      <c r="F24" s="157"/>
      <c r="G24" s="9"/>
      <c r="H24" s="4"/>
    </row>
    <row r="25" spans="1:8" ht="4.5" customHeight="1">
      <c r="A25" s="34"/>
      <c r="B25" s="5"/>
      <c r="C25" s="125"/>
      <c r="D25" s="155"/>
      <c r="E25" s="156"/>
      <c r="F25" s="157"/>
      <c r="G25" s="9"/>
      <c r="H25" s="4"/>
    </row>
    <row r="26" spans="1:8" ht="12.75">
      <c r="A26" s="34"/>
      <c r="B26" s="76"/>
      <c r="C26" s="158"/>
      <c r="D26" s="125"/>
      <c r="E26" s="134" t="s">
        <v>240</v>
      </c>
      <c r="F26" s="159">
        <f>IF(B10&gt;0,10*B12*(B11^(-0.5)-B10^(-0.5)),)</f>
        <v>0</v>
      </c>
      <c r="H26" s="4"/>
    </row>
    <row r="27" spans="1:14" ht="12.75">
      <c r="A27" s="41"/>
      <c r="B27" s="25"/>
      <c r="C27" s="160"/>
      <c r="D27" s="125"/>
      <c r="E27" s="161" t="s">
        <v>241</v>
      </c>
      <c r="F27" s="159">
        <f>IF(B10&gt;0,10*B12*(B11^(-0.5)-B10^(-0.5))*E24,)</f>
        <v>0</v>
      </c>
      <c r="G27" s="10"/>
      <c r="H27" s="4"/>
      <c r="K27" s="2"/>
      <c r="L27" s="4"/>
      <c r="M27" s="4"/>
      <c r="N27" s="4"/>
    </row>
    <row r="28" spans="1:14" ht="12.75">
      <c r="A28" s="41"/>
      <c r="B28" s="25"/>
      <c r="C28" s="160"/>
      <c r="D28" s="125"/>
      <c r="E28" s="454" t="s">
        <v>242</v>
      </c>
      <c r="F28" s="159">
        <f>IF(B8&gt;0,F29/B8,0)</f>
        <v>0</v>
      </c>
      <c r="G28" s="10"/>
      <c r="H28" s="4"/>
      <c r="K28" s="2"/>
      <c r="L28" s="4"/>
      <c r="M28" s="4"/>
      <c r="N28" s="4"/>
    </row>
    <row r="29" spans="1:15" ht="20.25" customHeight="1">
      <c r="A29" s="109"/>
      <c r="B29" s="31"/>
      <c r="C29" s="162"/>
      <c r="D29" s="162"/>
      <c r="E29" s="163" t="s">
        <v>116</v>
      </c>
      <c r="F29" s="164">
        <f>ROUNDUP(F27*B8,-1)</f>
        <v>0</v>
      </c>
      <c r="G29" s="11"/>
      <c r="L29" s="3"/>
      <c r="M29" s="3"/>
      <c r="N29" s="405">
        <v>3.5535</v>
      </c>
      <c r="O29" s="412">
        <v>3.7031</v>
      </c>
    </row>
    <row r="30" spans="1:14" s="7" customFormat="1" ht="13.5" customHeight="1" thickBot="1">
      <c r="A30" s="102"/>
      <c r="C30" s="126"/>
      <c r="D30" s="126"/>
      <c r="E30" s="144"/>
      <c r="F30" s="165"/>
      <c r="G30" s="14"/>
      <c r="H30" s="13"/>
      <c r="K30" s="13"/>
      <c r="L30" s="6"/>
      <c r="M30" s="6"/>
      <c r="N30" s="6"/>
    </row>
    <row r="31" spans="1:14" ht="21" thickBot="1">
      <c r="A31" s="424" t="s">
        <v>446</v>
      </c>
      <c r="B31" s="120"/>
      <c r="C31" s="168"/>
      <c r="D31" s="169"/>
      <c r="E31" s="169"/>
      <c r="F31" s="170"/>
      <c r="G31" s="112" t="s">
        <v>140</v>
      </c>
      <c r="H31" s="242">
        <f>C5</f>
        <v>1</v>
      </c>
      <c r="K31" s="2"/>
      <c r="L31" s="3"/>
      <c r="M31" s="3"/>
      <c r="N31" s="3"/>
    </row>
    <row r="32" spans="1:16" ht="34.5">
      <c r="A32" s="123" t="str">
        <f>IF(B34&gt;10,"BEWARE - MILL TOO LONG"," ")</f>
        <v> </v>
      </c>
      <c r="B32" s="106"/>
      <c r="C32" s="130" t="s">
        <v>142</v>
      </c>
      <c r="D32" s="171"/>
      <c r="E32" s="172" t="s">
        <v>143</v>
      </c>
      <c r="F32" s="173">
        <f>F29</f>
        <v>0</v>
      </c>
      <c r="G32" s="111" t="s">
        <v>144</v>
      </c>
      <c r="H32" s="80" t="s">
        <v>145</v>
      </c>
      <c r="I32" s="81" t="s">
        <v>146</v>
      </c>
      <c r="J32" s="4"/>
      <c r="K32" s="90"/>
      <c r="L32" s="91"/>
      <c r="M32" s="579" t="s">
        <v>5</v>
      </c>
      <c r="N32" s="580"/>
      <c r="O32" s="579" t="s">
        <v>317</v>
      </c>
      <c r="P32" s="580"/>
    </row>
    <row r="33" spans="1:16" ht="12.75">
      <c r="A33" s="35" t="s">
        <v>246</v>
      </c>
      <c r="B33" s="436"/>
      <c r="C33" s="445">
        <f>B33*3.2808</f>
        <v>0</v>
      </c>
      <c r="D33" s="125"/>
      <c r="E33" s="134" t="s">
        <v>160</v>
      </c>
      <c r="F33" s="135">
        <f>IF(B33&gt;0,B33-2*B35,)</f>
        <v>0</v>
      </c>
      <c r="G33" s="333">
        <v>1</v>
      </c>
      <c r="H33" s="87">
        <f>IF(H31&gt;0,ROUNDDOWN(((($F$29/$H$31)/($G$33*N29))^(1/O29))*2,0)/2,)</f>
        <v>0</v>
      </c>
      <c r="I33" s="88">
        <f>IF(I34&gt;0,I34+0.5,)</f>
        <v>0</v>
      </c>
      <c r="J33" s="4"/>
      <c r="K33" s="3"/>
      <c r="L33" s="3"/>
      <c r="M33" s="581" t="s">
        <v>501</v>
      </c>
      <c r="N33" s="582" t="s">
        <v>142</v>
      </c>
      <c r="O33" s="581" t="s">
        <v>501</v>
      </c>
      <c r="P33" s="582" t="s">
        <v>142</v>
      </c>
    </row>
    <row r="34" spans="1:16" ht="13.5" thickBot="1">
      <c r="A34" s="35" t="s">
        <v>247</v>
      </c>
      <c r="B34" s="436"/>
      <c r="C34" s="445">
        <f>B34*3.2808</f>
        <v>0</v>
      </c>
      <c r="D34" s="125"/>
      <c r="E34" s="127" t="s">
        <v>154</v>
      </c>
      <c r="F34" s="132">
        <f>IF(B33&gt;0,B34/B33,)</f>
        <v>0</v>
      </c>
      <c r="G34" s="372" t="s">
        <v>248</v>
      </c>
      <c r="H34" s="87">
        <f>IF(H31&gt;0,ROUNDUP(((($F$29/$H$31)/($G$33*N29))^(1/O29))*2,0)/2,)</f>
        <v>0</v>
      </c>
      <c r="I34" s="89">
        <f>ROUNDUP($H$34*$G$33*2,0)/2</f>
        <v>0</v>
      </c>
      <c r="J34" s="4"/>
      <c r="K34" s="3"/>
      <c r="L34" s="3"/>
      <c r="M34" s="583">
        <f>N34/3.2808</f>
        <v>1.21921482565228</v>
      </c>
      <c r="N34" s="584">
        <v>4</v>
      </c>
      <c r="O34" s="583">
        <f>P34/3.2808</f>
        <v>7.315288953913679</v>
      </c>
      <c r="P34" s="584">
        <v>24</v>
      </c>
    </row>
    <row r="35" spans="1:16" ht="13.5" thickBot="1">
      <c r="A35" s="35" t="s">
        <v>447</v>
      </c>
      <c r="B35" s="437">
        <v>0.1</v>
      </c>
      <c r="C35" s="125"/>
      <c r="D35" s="125"/>
      <c r="E35" s="125"/>
      <c r="F35" s="133"/>
      <c r="G35" s="269" t="s">
        <v>448</v>
      </c>
      <c r="H35" s="370"/>
      <c r="I35" s="371"/>
      <c r="J35" s="4"/>
      <c r="K35" s="3"/>
      <c r="L35" s="3"/>
      <c r="M35" s="583">
        <f aca="true" t="shared" si="0" ref="M35:M44">N35/3.2808</f>
        <v>1.8288222384784198</v>
      </c>
      <c r="N35" s="584">
        <v>6</v>
      </c>
      <c r="O35" s="583">
        <f aca="true" t="shared" si="1" ref="O35:O44">P35/3.2808</f>
        <v>7.924896366739819</v>
      </c>
      <c r="P35" s="584">
        <v>26</v>
      </c>
    </row>
    <row r="36" spans="1:16" ht="12.75">
      <c r="A36" s="35" t="s">
        <v>449</v>
      </c>
      <c r="B36" s="20"/>
      <c r="C36" s="125"/>
      <c r="D36" s="125"/>
      <c r="E36" s="127" t="s">
        <v>163</v>
      </c>
      <c r="F36" s="136">
        <f>IF(F33&gt;0,42.3/F33^0.5,)</f>
        <v>0</v>
      </c>
      <c r="J36" s="4"/>
      <c r="K36" s="3"/>
      <c r="L36" s="3"/>
      <c r="M36" s="583">
        <f t="shared" si="0"/>
        <v>2.43842965130456</v>
      </c>
      <c r="N36" s="584">
        <v>8</v>
      </c>
      <c r="O36" s="583">
        <f t="shared" si="1"/>
        <v>8.53450377956596</v>
      </c>
      <c r="P36" s="584">
        <v>28</v>
      </c>
    </row>
    <row r="37" spans="1:16" ht="12.75">
      <c r="A37" s="35" t="s">
        <v>164</v>
      </c>
      <c r="B37" s="461">
        <v>0.75</v>
      </c>
      <c r="C37" s="137"/>
      <c r="D37" s="125"/>
      <c r="E37" s="127" t="s">
        <v>165</v>
      </c>
      <c r="F37" s="136">
        <f>F36*B37</f>
        <v>0</v>
      </c>
      <c r="G37" s="110" t="s">
        <v>161</v>
      </c>
      <c r="H37" s="13"/>
      <c r="J37" s="4"/>
      <c r="K37" s="3"/>
      <c r="L37" s="3"/>
      <c r="M37" s="583">
        <f t="shared" si="0"/>
        <v>3.0480370641306997</v>
      </c>
      <c r="N37" s="584">
        <v>10</v>
      </c>
      <c r="O37" s="583">
        <f t="shared" si="1"/>
        <v>9.1441111923921</v>
      </c>
      <c r="P37" s="584">
        <v>30</v>
      </c>
    </row>
    <row r="38" spans="1:25" ht="13.5" customHeight="1">
      <c r="A38" s="35" t="s">
        <v>450</v>
      </c>
      <c r="B38" s="11"/>
      <c r="C38" s="125"/>
      <c r="D38" s="125"/>
      <c r="E38" s="125"/>
      <c r="F38" s="133"/>
      <c r="G38" s="13"/>
      <c r="H38" s="13"/>
      <c r="I38" s="4"/>
      <c r="J38" s="4"/>
      <c r="K38" s="3"/>
      <c r="M38" s="583">
        <f t="shared" si="0"/>
        <v>3.6576444769568397</v>
      </c>
      <c r="N38" s="584">
        <v>12</v>
      </c>
      <c r="O38" s="583">
        <f t="shared" si="1"/>
        <v>9.75371860521824</v>
      </c>
      <c r="P38" s="584">
        <v>32</v>
      </c>
      <c r="Q38" s="296" t="s">
        <v>451</v>
      </c>
      <c r="R38" s="297"/>
      <c r="S38" s="297"/>
      <c r="T38" s="298"/>
      <c r="U38" s="298"/>
      <c r="V38" s="298"/>
      <c r="W38" s="298"/>
      <c r="X38" s="298"/>
      <c r="Y38" s="255"/>
    </row>
    <row r="39" spans="1:25" ht="12.75">
      <c r="A39" s="35" t="s">
        <v>167</v>
      </c>
      <c r="B39" s="456"/>
      <c r="C39" s="129"/>
      <c r="D39" s="125"/>
      <c r="E39" s="134" t="s">
        <v>168</v>
      </c>
      <c r="F39" s="132">
        <f>IF(B39&gt;0,B9/((1-B39)*B9+B39),)</f>
        <v>0</v>
      </c>
      <c r="G39" s="13"/>
      <c r="H39" s="13"/>
      <c r="I39" s="4"/>
      <c r="J39" s="4"/>
      <c r="K39" s="3"/>
      <c r="M39" s="583">
        <f t="shared" si="0"/>
        <v>4.26725188978298</v>
      </c>
      <c r="N39" s="584">
        <v>14</v>
      </c>
      <c r="O39" s="583">
        <f t="shared" si="1"/>
        <v>10.36332601804438</v>
      </c>
      <c r="P39" s="584">
        <v>34</v>
      </c>
      <c r="Q39" s="299" t="s">
        <v>211</v>
      </c>
      <c r="R39" s="258"/>
      <c r="S39" s="258" t="s">
        <v>212</v>
      </c>
      <c r="T39" s="258"/>
      <c r="U39" s="105" t="s">
        <v>213</v>
      </c>
      <c r="V39" s="105"/>
      <c r="W39" s="105" t="s">
        <v>214</v>
      </c>
      <c r="X39" s="105"/>
      <c r="Y39" s="300"/>
    </row>
    <row r="40" spans="1:25" ht="12.75">
      <c r="A40" s="35" t="s">
        <v>253</v>
      </c>
      <c r="B40" s="456"/>
      <c r="C40" s="129"/>
      <c r="D40" s="125"/>
      <c r="E40" s="125"/>
      <c r="F40" s="133"/>
      <c r="I40" s="4"/>
      <c r="J40" s="4"/>
      <c r="K40" s="3"/>
      <c r="M40" s="583">
        <f t="shared" si="0"/>
        <v>4.87685930260912</v>
      </c>
      <c r="N40" s="584">
        <v>16</v>
      </c>
      <c r="O40" s="583">
        <f t="shared" si="1"/>
        <v>10.972933430870519</v>
      </c>
      <c r="P40" s="584">
        <v>36</v>
      </c>
      <c r="Q40" s="289" t="s">
        <v>5</v>
      </c>
      <c r="R40" s="6" t="s">
        <v>317</v>
      </c>
      <c r="S40" s="6" t="s">
        <v>6</v>
      </c>
      <c r="T40" s="19" t="s">
        <v>40</v>
      </c>
      <c r="U40" s="19" t="s">
        <v>6</v>
      </c>
      <c r="V40" s="19" t="s">
        <v>40</v>
      </c>
      <c r="W40" s="5">
        <v>1</v>
      </c>
      <c r="X40" s="5">
        <v>1.25</v>
      </c>
      <c r="Y40" s="249">
        <v>1.5</v>
      </c>
    </row>
    <row r="41" spans="1:25" ht="12.75">
      <c r="A41" s="35"/>
      <c r="B41" s="49"/>
      <c r="C41" s="129"/>
      <c r="D41" s="125"/>
      <c r="E41" s="134" t="s">
        <v>452</v>
      </c>
      <c r="F41" s="132">
        <f>B9*0.7</f>
        <v>0</v>
      </c>
      <c r="G41" s="13"/>
      <c r="H41" s="13"/>
      <c r="I41" s="4"/>
      <c r="J41" s="4"/>
      <c r="K41" s="3"/>
      <c r="M41" s="583">
        <f t="shared" si="0"/>
        <v>5.4864667154352595</v>
      </c>
      <c r="N41" s="584">
        <v>18</v>
      </c>
      <c r="O41" s="583">
        <f t="shared" si="1"/>
        <v>11.582540843696659</v>
      </c>
      <c r="P41" s="584">
        <v>38</v>
      </c>
      <c r="Q41" s="289">
        <v>1</v>
      </c>
      <c r="R41" s="6">
        <f>($F$32/$H$31)*(Q41^(-2.7031))/3.5535/C5</f>
        <v>0</v>
      </c>
      <c r="S41" s="6">
        <f>B33</f>
        <v>0</v>
      </c>
      <c r="T41" s="119">
        <f>B34</f>
        <v>0</v>
      </c>
      <c r="U41" s="293">
        <v>3.15</v>
      </c>
      <c r="V41" s="293">
        <v>3.6</v>
      </c>
      <c r="W41" s="5">
        <f aca="true" t="shared" si="2" ref="W41:Y53">$Q41*W$40</f>
        <v>1</v>
      </c>
      <c r="X41" s="5">
        <f t="shared" si="2"/>
        <v>1.25</v>
      </c>
      <c r="Y41" s="249">
        <f t="shared" si="2"/>
        <v>1.5</v>
      </c>
    </row>
    <row r="42" spans="1:25" ht="12.75">
      <c r="A42" s="35"/>
      <c r="B42" s="49"/>
      <c r="C42" s="129"/>
      <c r="D42" s="125"/>
      <c r="E42" s="134" t="s">
        <v>172</v>
      </c>
      <c r="F42" s="132">
        <f>(PI()*(F33^2)*B34/4)*B40</f>
        <v>0</v>
      </c>
      <c r="G42" s="48"/>
      <c r="H42" s="118"/>
      <c r="I42" s="4"/>
      <c r="J42" s="4"/>
      <c r="K42" s="3"/>
      <c r="M42" s="583">
        <f t="shared" si="0"/>
        <v>6.0960741282613995</v>
      </c>
      <c r="N42" s="584">
        <v>20</v>
      </c>
      <c r="O42" s="583">
        <f t="shared" si="1"/>
        <v>12.192148256522799</v>
      </c>
      <c r="P42" s="584">
        <v>40</v>
      </c>
      <c r="Q42" s="289">
        <v>1.5</v>
      </c>
      <c r="R42" s="6">
        <f>($F$32/$H$31)*(Q42^(-2.7031))/3.5535/C5</f>
        <v>0</v>
      </c>
      <c r="S42" s="6"/>
      <c r="T42" s="5"/>
      <c r="U42" s="293">
        <v>3.5</v>
      </c>
      <c r="V42" s="293">
        <v>3.8</v>
      </c>
      <c r="W42" s="5">
        <f t="shared" si="2"/>
        <v>1.5</v>
      </c>
      <c r="X42" s="5">
        <f t="shared" si="2"/>
        <v>1.875</v>
      </c>
      <c r="Y42" s="249">
        <f t="shared" si="2"/>
        <v>2.25</v>
      </c>
    </row>
    <row r="43" spans="1:25" ht="12.75">
      <c r="A43" s="34"/>
      <c r="B43" s="114" t="s">
        <v>261</v>
      </c>
      <c r="C43" s="174" t="s">
        <v>262</v>
      </c>
      <c r="D43" s="125"/>
      <c r="E43" s="134" t="s">
        <v>263</v>
      </c>
      <c r="F43" s="175">
        <f>F42*F41</f>
        <v>0</v>
      </c>
      <c r="G43" s="13"/>
      <c r="H43" s="13"/>
      <c r="J43" s="4"/>
      <c r="K43" s="3"/>
      <c r="M43" s="583">
        <f t="shared" si="0"/>
        <v>6.705681541087539</v>
      </c>
      <c r="N43" s="584">
        <v>22</v>
      </c>
      <c r="O43" s="583">
        <f t="shared" si="1"/>
        <v>12.801755669348939</v>
      </c>
      <c r="P43" s="584">
        <v>42</v>
      </c>
      <c r="Q43" s="289">
        <v>2</v>
      </c>
      <c r="R43" s="6">
        <f>($F$32/$H$31)*(Q43^(-2.7031))/3.5535/C5</f>
        <v>0</v>
      </c>
      <c r="S43" s="6"/>
      <c r="T43" s="5"/>
      <c r="U43" s="293">
        <v>3.8</v>
      </c>
      <c r="V43" s="293">
        <v>4.1</v>
      </c>
      <c r="W43" s="5">
        <f t="shared" si="2"/>
        <v>2</v>
      </c>
      <c r="X43" s="5">
        <f t="shared" si="2"/>
        <v>2.5</v>
      </c>
      <c r="Y43" s="249">
        <f t="shared" si="2"/>
        <v>3</v>
      </c>
    </row>
    <row r="44" spans="1:25" ht="13.5" thickBot="1">
      <c r="A44" s="48" t="s">
        <v>266</v>
      </c>
      <c r="B44" s="108">
        <f>IF(B13&gt;0,0.0118*(B13-0.015)^0.3,)</f>
        <v>0</v>
      </c>
      <c r="C44" s="176">
        <f>IF(B8&gt;0,B44*F48/B8,)</f>
        <v>0</v>
      </c>
      <c r="D44" s="125"/>
      <c r="E44" s="134" t="s">
        <v>265</v>
      </c>
      <c r="F44" s="132">
        <f>IF(B16&gt;0,IF(B18=1,IF(B16=2,1.08,1.16),1),)</f>
        <v>0</v>
      </c>
      <c r="G44" s="13"/>
      <c r="H44" s="13"/>
      <c r="I44" s="4"/>
      <c r="J44" s="4"/>
      <c r="K44" s="3"/>
      <c r="M44" s="585">
        <f t="shared" si="0"/>
        <v>7.315288953913679</v>
      </c>
      <c r="N44" s="586">
        <v>24</v>
      </c>
      <c r="O44" s="585">
        <f t="shared" si="1"/>
        <v>13.411363082175079</v>
      </c>
      <c r="P44" s="586">
        <v>44</v>
      </c>
      <c r="Q44" s="289">
        <v>2.5</v>
      </c>
      <c r="R44" s="6">
        <f>($F$32/$H$31)*(Q44^(-2.7031))/3.5535/C5</f>
        <v>0</v>
      </c>
      <c r="S44" s="6"/>
      <c r="T44" s="5"/>
      <c r="U44" s="293">
        <v>4.15</v>
      </c>
      <c r="V44" s="293">
        <v>4.5</v>
      </c>
      <c r="W44" s="5">
        <f t="shared" si="2"/>
        <v>2.5</v>
      </c>
      <c r="X44" s="5">
        <f t="shared" si="2"/>
        <v>3.125</v>
      </c>
      <c r="Y44" s="249">
        <f t="shared" si="2"/>
        <v>3.75</v>
      </c>
    </row>
    <row r="45" spans="1:25" ht="12.75">
      <c r="A45" s="34"/>
      <c r="B45" s="5"/>
      <c r="C45" s="125"/>
      <c r="D45" s="125"/>
      <c r="E45" s="127" t="s">
        <v>453</v>
      </c>
      <c r="F45" s="136">
        <f>1000*0.235*F33*F37/1200</f>
        <v>0</v>
      </c>
      <c r="G45" s="13"/>
      <c r="H45" s="6"/>
      <c r="I45" s="121"/>
      <c r="K45" s="2"/>
      <c r="Q45" s="289">
        <v>3</v>
      </c>
      <c r="R45" s="6">
        <f>($F$32/$H$31)*(Q45^(-2.7031))/3.5535/C5</f>
        <v>0</v>
      </c>
      <c r="S45" s="6"/>
      <c r="T45" s="5"/>
      <c r="U45" s="293">
        <v>4.5</v>
      </c>
      <c r="V45" s="294">
        <v>4.8</v>
      </c>
      <c r="W45" s="5">
        <f t="shared" si="2"/>
        <v>3</v>
      </c>
      <c r="X45" s="5">
        <f t="shared" si="2"/>
        <v>3.75</v>
      </c>
      <c r="Y45" s="249">
        <f t="shared" si="2"/>
        <v>4.5</v>
      </c>
    </row>
    <row r="46" spans="1:25" ht="12.75">
      <c r="A46" s="34"/>
      <c r="B46" s="5"/>
      <c r="C46" s="177"/>
      <c r="D46" s="125"/>
      <c r="E46" s="125"/>
      <c r="F46" s="133"/>
      <c r="G46" s="13"/>
      <c r="K46" s="2"/>
      <c r="Q46" s="289">
        <v>3.5</v>
      </c>
      <c r="R46" s="6">
        <f>($F$32/$H$31)*(Q46^(-2.7031))/3.5535/C5</f>
        <v>0</v>
      </c>
      <c r="S46" s="6"/>
      <c r="T46" s="5"/>
      <c r="U46" s="293">
        <v>4.9</v>
      </c>
      <c r="V46" s="294">
        <v>5.2</v>
      </c>
      <c r="W46" s="5">
        <f t="shared" si="2"/>
        <v>3.5</v>
      </c>
      <c r="X46" s="5">
        <f t="shared" si="2"/>
        <v>4.375</v>
      </c>
      <c r="Y46" s="249">
        <f t="shared" si="2"/>
        <v>5.25</v>
      </c>
    </row>
    <row r="47" spans="1:25" ht="12.75">
      <c r="A47" s="48"/>
      <c r="B47" s="118"/>
      <c r="C47" s="177"/>
      <c r="D47" s="125"/>
      <c r="E47" s="125"/>
      <c r="F47" s="133"/>
      <c r="G47" s="13"/>
      <c r="K47" s="2"/>
      <c r="Q47" s="289">
        <v>4</v>
      </c>
      <c r="R47" s="6">
        <f>($F$32/$H$31)*(Q47^(-2.7031))/3.5535/C5</f>
        <v>0</v>
      </c>
      <c r="S47" s="6"/>
      <c r="T47" s="5"/>
      <c r="U47" s="293">
        <v>5.3</v>
      </c>
      <c r="V47" s="294">
        <v>5.6</v>
      </c>
      <c r="W47" s="5">
        <f t="shared" si="2"/>
        <v>4</v>
      </c>
      <c r="X47" s="5">
        <f t="shared" si="2"/>
        <v>5</v>
      </c>
      <c r="Y47" s="249">
        <f t="shared" si="2"/>
        <v>6</v>
      </c>
    </row>
    <row r="48" spans="1:25" ht="20.25">
      <c r="A48" s="34"/>
      <c r="B48" s="5"/>
      <c r="C48" s="125"/>
      <c r="D48" s="162"/>
      <c r="E48" s="178" t="s">
        <v>181</v>
      </c>
      <c r="F48" s="179">
        <f>F43*F45</f>
        <v>0</v>
      </c>
      <c r="G48" s="387">
        <f>1000*F43*0.235*F33*F37/1200</f>
        <v>0</v>
      </c>
      <c r="H48" s="388" t="s">
        <v>323</v>
      </c>
      <c r="I48" s="342"/>
      <c r="J48" s="389"/>
      <c r="K48" s="2"/>
      <c r="Q48" s="289">
        <v>4.5</v>
      </c>
      <c r="R48" s="6">
        <f>($F$32/$H$31)*(Q48^(-2.7031))/3.5535/C5</f>
        <v>0</v>
      </c>
      <c r="S48" s="6"/>
      <c r="T48" s="7"/>
      <c r="U48" s="294">
        <v>5.3</v>
      </c>
      <c r="V48" s="294">
        <v>7</v>
      </c>
      <c r="W48" s="5">
        <f t="shared" si="2"/>
        <v>4.5</v>
      </c>
      <c r="X48" s="5">
        <f t="shared" si="2"/>
        <v>5.625</v>
      </c>
      <c r="Y48" s="249">
        <f t="shared" si="2"/>
        <v>6.75</v>
      </c>
    </row>
    <row r="49" spans="1:25" ht="20.25">
      <c r="A49" s="34"/>
      <c r="C49" s="125"/>
      <c r="D49" s="162"/>
      <c r="E49" s="163" t="s">
        <v>183</v>
      </c>
      <c r="F49" s="532">
        <f>ROUNDUP(J49,1)</f>
        <v>0</v>
      </c>
      <c r="G49" s="13"/>
      <c r="I49" s="211" t="s">
        <v>324</v>
      </c>
      <c r="J49" s="6">
        <f>IF(F48&gt;0,F29/F48,)</f>
        <v>0</v>
      </c>
      <c r="K49" s="399">
        <v>10</v>
      </c>
      <c r="L49" s="282">
        <v>0.41</v>
      </c>
      <c r="Q49" s="289">
        <v>5</v>
      </c>
      <c r="R49" s="6">
        <f>($F$32/$H$31)*(Q49^(-2.7031))/3.5535/C5</f>
        <v>0</v>
      </c>
      <c r="S49" s="6"/>
      <c r="T49" s="7"/>
      <c r="U49" s="294">
        <v>5.9</v>
      </c>
      <c r="V49" s="294">
        <v>6.2</v>
      </c>
      <c r="W49" s="5">
        <f t="shared" si="2"/>
        <v>5</v>
      </c>
      <c r="X49" s="5">
        <f t="shared" si="2"/>
        <v>6.25</v>
      </c>
      <c r="Y49" s="249">
        <f t="shared" si="2"/>
        <v>7.5</v>
      </c>
    </row>
    <row r="50" spans="1:25" ht="18">
      <c r="A50" s="35"/>
      <c r="B50" s="6"/>
      <c r="C50" s="201"/>
      <c r="D50" s="202"/>
      <c r="E50" s="203" t="s">
        <v>271</v>
      </c>
      <c r="F50" s="200">
        <f>F49*F48</f>
        <v>0</v>
      </c>
      <c r="G50" s="13"/>
      <c r="H50" s="8"/>
      <c r="K50" s="250">
        <v>15</v>
      </c>
      <c r="L50" s="283">
        <v>0.38</v>
      </c>
      <c r="Q50" s="289">
        <v>5.5</v>
      </c>
      <c r="R50" s="6">
        <f>($F$32/$H$31)*(Q50^(-2.7031))/3.5535/C5</f>
        <v>0</v>
      </c>
      <c r="S50" s="6"/>
      <c r="T50" s="7"/>
      <c r="U50" s="294">
        <v>5.9</v>
      </c>
      <c r="V50" s="294">
        <v>8</v>
      </c>
      <c r="W50" s="5">
        <f t="shared" si="2"/>
        <v>5.5</v>
      </c>
      <c r="X50" s="5">
        <f t="shared" si="2"/>
        <v>6.875</v>
      </c>
      <c r="Y50" s="249">
        <f t="shared" si="2"/>
        <v>8.25</v>
      </c>
    </row>
    <row r="51" spans="1:25" ht="21" thickBot="1">
      <c r="A51" s="35"/>
      <c r="B51" s="6"/>
      <c r="C51" s="125"/>
      <c r="D51" s="162"/>
      <c r="E51" s="163"/>
      <c r="F51" s="180"/>
      <c r="G51" s="13"/>
      <c r="H51" s="8"/>
      <c r="K51" s="250">
        <v>20</v>
      </c>
      <c r="L51" s="283">
        <v>0.35</v>
      </c>
      <c r="Q51" s="289">
        <v>6</v>
      </c>
      <c r="R51" s="6">
        <f>($F$32/$H$31)*(Q51^(-2.7031))/3.5535/C5</f>
        <v>0</v>
      </c>
      <c r="S51" s="6"/>
      <c r="T51" s="7"/>
      <c r="U51" s="294">
        <v>6.5</v>
      </c>
      <c r="V51" s="294">
        <v>7.5</v>
      </c>
      <c r="W51" s="5">
        <f t="shared" si="2"/>
        <v>6</v>
      </c>
      <c r="X51" s="5">
        <f t="shared" si="2"/>
        <v>7.5</v>
      </c>
      <c r="Y51" s="249">
        <f t="shared" si="2"/>
        <v>9</v>
      </c>
    </row>
    <row r="52" spans="1:25" ht="20.25">
      <c r="A52" s="247" t="s">
        <v>187</v>
      </c>
      <c r="B52" s="113"/>
      <c r="C52" s="183"/>
      <c r="D52" s="184"/>
      <c r="E52" s="185"/>
      <c r="F52" s="186"/>
      <c r="G52" s="13"/>
      <c r="H52" s="8"/>
      <c r="K52" s="250">
        <v>25</v>
      </c>
      <c r="L52" s="283">
        <v>0.33</v>
      </c>
      <c r="Q52" s="289">
        <v>6.5</v>
      </c>
      <c r="R52" s="6">
        <f>($F$32/$H$31)*(Q52^(-2.7031))/3.5535/C5</f>
        <v>0</v>
      </c>
      <c r="S52" s="6"/>
      <c r="T52" s="7"/>
      <c r="U52" s="294">
        <v>6.5</v>
      </c>
      <c r="V52" s="294">
        <v>9</v>
      </c>
      <c r="W52" s="5">
        <f t="shared" si="2"/>
        <v>6.5</v>
      </c>
      <c r="X52" s="5">
        <f t="shared" si="2"/>
        <v>8.125</v>
      </c>
      <c r="Y52" s="249">
        <f t="shared" si="2"/>
        <v>9.75</v>
      </c>
    </row>
    <row r="53" spans="1:25" ht="12.75">
      <c r="A53" s="34"/>
      <c r="B53" s="5"/>
      <c r="C53" s="187"/>
      <c r="D53" s="125"/>
      <c r="E53" s="188" t="s">
        <v>272</v>
      </c>
      <c r="F53" s="182">
        <f>F48</f>
        <v>0</v>
      </c>
      <c r="G53" s="5"/>
      <c r="K53" s="250">
        <v>35</v>
      </c>
      <c r="L53" s="283">
        <v>0.28</v>
      </c>
      <c r="N53" s="305" t="s">
        <v>375</v>
      </c>
      <c r="O53" s="248" t="s">
        <v>454</v>
      </c>
      <c r="Q53" s="289">
        <v>7</v>
      </c>
      <c r="R53" s="6">
        <f>($F$32/$H$31)*(Q53^(-2.7031))/3.5535/C5</f>
        <v>0</v>
      </c>
      <c r="S53" s="7"/>
      <c r="T53" s="7"/>
      <c r="U53" s="294"/>
      <c r="V53" s="294"/>
      <c r="W53" s="5">
        <f t="shared" si="2"/>
        <v>7</v>
      </c>
      <c r="X53" s="5">
        <f t="shared" si="2"/>
        <v>8.75</v>
      </c>
      <c r="Y53" s="249">
        <f t="shared" si="2"/>
        <v>10.5</v>
      </c>
    </row>
    <row r="54" spans="1:25" ht="12.75">
      <c r="A54" s="48"/>
      <c r="B54" s="119"/>
      <c r="C54" s="187"/>
      <c r="D54" s="125"/>
      <c r="E54" s="189" t="s">
        <v>273</v>
      </c>
      <c r="F54" s="139">
        <f>IF(B33&gt;0,(B33-B35)^3*F48/(F33)^3-F53,)</f>
        <v>0</v>
      </c>
      <c r="G54" s="5"/>
      <c r="K54" s="250">
        <v>40</v>
      </c>
      <c r="L54" s="283">
        <v>0.26</v>
      </c>
      <c r="N54" s="309">
        <v>3.5535</v>
      </c>
      <c r="O54" s="253">
        <v>2.7031</v>
      </c>
      <c r="Q54" s="301"/>
      <c r="R54" s="7"/>
      <c r="S54" s="7"/>
      <c r="T54" s="7"/>
      <c r="U54" s="294"/>
      <c r="V54" s="294"/>
      <c r="W54" s="5"/>
      <c r="X54" s="5"/>
      <c r="Y54" s="249"/>
    </row>
    <row r="55" spans="1:25" ht="12.75">
      <c r="A55" s="34"/>
      <c r="B55" s="5"/>
      <c r="C55" s="187"/>
      <c r="D55" s="125"/>
      <c r="E55" s="144" t="s">
        <v>192</v>
      </c>
      <c r="F55" s="190">
        <f>F53+F54</f>
        <v>0</v>
      </c>
      <c r="G55" s="5"/>
      <c r="H55" s="5"/>
      <c r="K55" s="252">
        <v>50</v>
      </c>
      <c r="L55" s="285">
        <v>0.21</v>
      </c>
      <c r="Q55" s="302"/>
      <c r="R55" s="303"/>
      <c r="S55" s="303"/>
      <c r="T55" s="303"/>
      <c r="U55" s="304"/>
      <c r="V55" s="304"/>
      <c r="W55" s="292"/>
      <c r="X55" s="292"/>
      <c r="Y55" s="256"/>
    </row>
    <row r="56" spans="1:17" ht="15.75">
      <c r="A56" s="101"/>
      <c r="B56" s="22"/>
      <c r="C56" s="187"/>
      <c r="D56" s="191"/>
      <c r="E56" s="144"/>
      <c r="F56" s="192"/>
      <c r="G56" s="5"/>
      <c r="K56" s="1"/>
      <c r="L56" s="1"/>
      <c r="M56" s="1"/>
      <c r="N56" s="1"/>
      <c r="O56" s="1"/>
      <c r="P56" s="1"/>
      <c r="Q56" s="1"/>
    </row>
    <row r="57" spans="1:17" ht="21" thickBot="1">
      <c r="A57" s="117"/>
      <c r="B57" s="122"/>
      <c r="C57" s="193"/>
      <c r="D57" s="194"/>
      <c r="E57" s="195" t="s">
        <v>460</v>
      </c>
      <c r="F57" s="196">
        <f>ROUNDUP(F55*1.03,-1)</f>
        <v>0</v>
      </c>
      <c r="G57" s="390">
        <f>N54*F33^O54*B34</f>
        <v>0</v>
      </c>
      <c r="H57" s="388" t="s">
        <v>455</v>
      </c>
      <c r="I57" s="342"/>
      <c r="J57" s="389"/>
      <c r="K57" s="1"/>
      <c r="N57" s="413" t="s">
        <v>456</v>
      </c>
      <c r="O57" s="1"/>
      <c r="P57" s="1"/>
      <c r="Q57" s="1"/>
    </row>
    <row r="58" spans="3:11" ht="13.5" thickTop="1">
      <c r="C58" s="197"/>
      <c r="D58" s="197"/>
      <c r="E58" s="198"/>
      <c r="F58" s="197"/>
      <c r="H58" s="1"/>
      <c r="I58" s="1"/>
      <c r="J58" s="1"/>
      <c r="K58" s="1"/>
    </row>
    <row r="59" spans="3:11" ht="12.75">
      <c r="C59" s="197"/>
      <c r="D59" s="197"/>
      <c r="E59" s="198"/>
      <c r="F59" s="197"/>
      <c r="H59" s="1"/>
      <c r="I59" s="1"/>
      <c r="J59" s="1"/>
      <c r="K59" s="1"/>
    </row>
    <row r="60" spans="3:11" ht="12.75">
      <c r="C60" s="197"/>
      <c r="D60" s="197"/>
      <c r="E60" s="198"/>
      <c r="F60" s="197"/>
      <c r="H60" s="1"/>
      <c r="I60" s="1"/>
      <c r="J60" s="1"/>
      <c r="K60" s="1"/>
    </row>
    <row r="61" spans="3:11" ht="12.75">
      <c r="C61" s="197"/>
      <c r="D61" s="197"/>
      <c r="E61" s="198"/>
      <c r="F61" s="197"/>
      <c r="H61" s="1"/>
      <c r="I61" s="1"/>
      <c r="J61" s="1"/>
      <c r="K61" s="1"/>
    </row>
    <row r="62" spans="3:11" ht="12.75">
      <c r="C62" s="197"/>
      <c r="D62" s="197"/>
      <c r="E62" s="198"/>
      <c r="F62" s="197"/>
      <c r="H62" s="1"/>
      <c r="I62" s="1"/>
      <c r="J62" s="1"/>
      <c r="K62" s="1"/>
    </row>
    <row r="63" spans="3:11" ht="12.75">
      <c r="C63" s="197"/>
      <c r="D63" s="197"/>
      <c r="E63" s="198"/>
      <c r="F63" s="197"/>
      <c r="H63" s="1"/>
      <c r="I63" s="1"/>
      <c r="J63" s="1"/>
      <c r="K63" s="1"/>
    </row>
    <row r="64" spans="3:11" ht="12.75">
      <c r="C64" s="197"/>
      <c r="D64" s="197"/>
      <c r="E64" s="198"/>
      <c r="F64" s="197"/>
      <c r="H64" s="1"/>
      <c r="I64" s="1"/>
      <c r="J64" s="1"/>
      <c r="K64" s="1"/>
    </row>
    <row r="65" spans="3:11" ht="12.75">
      <c r="C65" s="197"/>
      <c r="D65" s="197"/>
      <c r="E65" s="198"/>
      <c r="F65" s="197"/>
      <c r="H65" s="1"/>
      <c r="I65" s="1"/>
      <c r="J65" s="1"/>
      <c r="K65" s="1"/>
    </row>
    <row r="66" spans="3:11" ht="12.75">
      <c r="C66" s="197"/>
      <c r="D66" s="197"/>
      <c r="E66" s="198"/>
      <c r="F66" s="197"/>
      <c r="H66" s="1"/>
      <c r="I66" s="1"/>
      <c r="J66" s="1"/>
      <c r="K66" s="1"/>
    </row>
    <row r="67" spans="3:11" ht="12.75">
      <c r="C67" s="197"/>
      <c r="D67" s="197"/>
      <c r="E67" s="198"/>
      <c r="F67" s="197"/>
      <c r="H67" s="1"/>
      <c r="I67" s="1"/>
      <c r="J67" s="1"/>
      <c r="K67" s="1"/>
    </row>
    <row r="68" spans="3:11" s="5" customFormat="1" ht="12.75">
      <c r="C68" s="125"/>
      <c r="D68" s="125"/>
      <c r="E68" s="126"/>
      <c r="F68" s="125"/>
      <c r="H68" s="7"/>
      <c r="I68" s="7"/>
      <c r="J68" s="7"/>
      <c r="K68" s="7"/>
    </row>
    <row r="69" spans="3:11" ht="12.75">
      <c r="C69" s="197"/>
      <c r="D69" s="197"/>
      <c r="E69" s="198"/>
      <c r="F69" s="197"/>
      <c r="H69" s="1"/>
      <c r="I69" s="1"/>
      <c r="J69" s="1"/>
      <c r="K69" s="1"/>
    </row>
    <row r="70" spans="3:11" ht="12.75">
      <c r="C70" s="197"/>
      <c r="D70" s="197"/>
      <c r="E70" s="198"/>
      <c r="F70" s="197"/>
      <c r="H70" s="1"/>
      <c r="I70" s="1"/>
      <c r="J70" s="1"/>
      <c r="K70" s="1"/>
    </row>
    <row r="71" spans="3:11" ht="12.75">
      <c r="C71" s="197"/>
      <c r="D71" s="197"/>
      <c r="E71" s="198"/>
      <c r="F71" s="197"/>
      <c r="H71" s="1"/>
      <c r="I71" s="1"/>
      <c r="J71" s="1"/>
      <c r="K71" s="1"/>
    </row>
    <row r="72" spans="3:11" ht="12.75">
      <c r="C72" s="197"/>
      <c r="D72" s="197"/>
      <c r="E72" s="198"/>
      <c r="F72" s="197"/>
      <c r="H72" s="1"/>
      <c r="I72" s="1"/>
      <c r="J72" s="1"/>
      <c r="K72" s="1"/>
    </row>
    <row r="73" spans="5:11" ht="12.75">
      <c r="E73" s="1"/>
      <c r="H73" s="1"/>
      <c r="I73" s="1"/>
      <c r="J73" s="1"/>
      <c r="K73" s="1"/>
    </row>
    <row r="74" spans="5:11" ht="12.75">
      <c r="E74" s="1"/>
      <c r="H74" s="1"/>
      <c r="I74" s="1"/>
      <c r="J74" s="1"/>
      <c r="K74" s="1"/>
    </row>
    <row r="75" spans="5:11" ht="12.75">
      <c r="E75" s="1"/>
      <c r="H75" s="1"/>
      <c r="I75" s="1"/>
      <c r="J75" s="1"/>
      <c r="K75" s="1"/>
    </row>
    <row r="76" spans="1:11" ht="12.75">
      <c r="A76" s="8"/>
      <c r="B76" s="1"/>
      <c r="E76" s="1"/>
      <c r="H76" s="1"/>
      <c r="I76" s="1"/>
      <c r="J76" s="1"/>
      <c r="K76" s="1"/>
    </row>
    <row r="77" spans="1:11" ht="12.75">
      <c r="A77" s="15"/>
      <c r="B77" s="1"/>
      <c r="E77" s="1"/>
      <c r="H77" s="1"/>
      <c r="I77" s="1"/>
      <c r="J77" s="1"/>
      <c r="K77" s="1"/>
    </row>
    <row r="78" spans="1:11" ht="15.75">
      <c r="A78" s="16"/>
      <c r="B78" s="1"/>
      <c r="E78" s="1"/>
      <c r="H78" s="1"/>
      <c r="I78" s="1"/>
      <c r="J78" s="1"/>
      <c r="K78" s="1"/>
    </row>
    <row r="79" spans="1:11" ht="15.75">
      <c r="A79" s="16"/>
      <c r="B79" s="1"/>
      <c r="E79" s="1"/>
      <c r="H79" s="1"/>
      <c r="I79" s="1"/>
      <c r="J79" s="1"/>
      <c r="K79" s="1"/>
    </row>
    <row r="80" spans="1:11" ht="15.75">
      <c r="A80" s="16"/>
      <c r="B80" s="1"/>
      <c r="E80" s="1"/>
      <c r="H80" s="1"/>
      <c r="I80" s="1"/>
      <c r="J80" s="1"/>
      <c r="K80" s="1"/>
    </row>
    <row r="81" spans="1:11" ht="15.75">
      <c r="A81" s="16"/>
      <c r="B81" s="1"/>
      <c r="E81" s="1"/>
      <c r="H81" s="1"/>
      <c r="I81" s="1"/>
      <c r="J81" s="1"/>
      <c r="K81" s="1"/>
    </row>
    <row r="82" spans="1:11" ht="15.75">
      <c r="A82" s="16"/>
      <c r="B82" s="1"/>
      <c r="E82" s="1"/>
      <c r="H82" s="1"/>
      <c r="I82" s="1"/>
      <c r="J82" s="1"/>
      <c r="K82" s="1"/>
    </row>
    <row r="83" spans="1:11" ht="15.75">
      <c r="A83" s="16"/>
      <c r="B83" s="1"/>
      <c r="E83" s="1"/>
      <c r="H83" s="1"/>
      <c r="I83" s="1"/>
      <c r="J83" s="1"/>
      <c r="K83" s="1"/>
    </row>
    <row r="84" spans="1:11" ht="12.75">
      <c r="A84" s="7"/>
      <c r="B84" s="1"/>
      <c r="E84" s="1"/>
      <c r="H84" s="1"/>
      <c r="I84" s="1"/>
      <c r="J84" s="1"/>
      <c r="K84" s="1"/>
    </row>
    <row r="85" spans="1:11" ht="12.75">
      <c r="A85" s="7"/>
      <c r="B85" s="1"/>
      <c r="E85" s="1"/>
      <c r="H85" s="1"/>
      <c r="I85" s="1"/>
      <c r="J85" s="1"/>
      <c r="K85" s="1"/>
    </row>
    <row r="86" spans="1:11" ht="12.75">
      <c r="A86" s="7"/>
      <c r="B86" s="1"/>
      <c r="E86" s="1"/>
      <c r="H86" s="1"/>
      <c r="I86" s="1"/>
      <c r="J86" s="1"/>
      <c r="K86" s="1"/>
    </row>
    <row r="87" spans="1:11" ht="12.75">
      <c r="A87" s="7"/>
      <c r="B87" s="1"/>
      <c r="E87" s="1"/>
      <c r="F87" s="1"/>
      <c r="G87" s="1"/>
      <c r="H87" s="1"/>
      <c r="I87" s="1"/>
      <c r="J87" s="1"/>
      <c r="K87" s="1"/>
    </row>
    <row r="88" spans="1:11" ht="12.75">
      <c r="A88" s="7"/>
      <c r="B88" s="1"/>
      <c r="E88" s="1"/>
      <c r="F88" s="1"/>
      <c r="G88" s="1"/>
      <c r="H88" s="1"/>
      <c r="I88" s="1"/>
      <c r="J88" s="1"/>
      <c r="K88" s="1"/>
    </row>
    <row r="89" spans="1:11" ht="12.75">
      <c r="A89" s="7"/>
      <c r="B89" s="1"/>
      <c r="E89" s="1"/>
      <c r="F89" s="1"/>
      <c r="G89" s="1"/>
      <c r="H89" s="1"/>
      <c r="I89" s="1"/>
      <c r="J89" s="1"/>
      <c r="K89" s="1"/>
    </row>
    <row r="90" spans="1:11" ht="12.75">
      <c r="A90" s="7"/>
      <c r="B90" s="1"/>
      <c r="E90" s="1"/>
      <c r="F90" s="1"/>
      <c r="G90" s="1"/>
      <c r="H90" s="1"/>
      <c r="I90" s="1"/>
      <c r="J90" s="1"/>
      <c r="K90" s="1"/>
    </row>
    <row r="91" spans="1:11" ht="12.75">
      <c r="A91" s="7"/>
      <c r="B91" s="1"/>
      <c r="E91" s="1"/>
      <c r="F91" s="1"/>
      <c r="G91" s="1"/>
      <c r="H91" s="1"/>
      <c r="I91" s="1"/>
      <c r="J91" s="1"/>
      <c r="K91" s="1"/>
    </row>
    <row r="92" spans="1:11" ht="12.75">
      <c r="A92" s="7"/>
      <c r="B92" s="1"/>
      <c r="E92" s="1"/>
      <c r="F92" s="1"/>
      <c r="G92" s="1"/>
      <c r="H92" s="1"/>
      <c r="I92" s="1"/>
      <c r="J92" s="1"/>
      <c r="K92" s="1"/>
    </row>
    <row r="93" spans="1:11" ht="12.75">
      <c r="A93" s="7"/>
      <c r="B93" s="1"/>
      <c r="E93" s="1"/>
      <c r="F93" s="1"/>
      <c r="G93" s="1"/>
      <c r="H93" s="1"/>
      <c r="I93" s="1"/>
      <c r="J93" s="1"/>
      <c r="K93" s="1"/>
    </row>
    <row r="94" spans="1:11" ht="12.75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7:17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7:17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7:17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7:17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7:17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7:17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7:17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5:17" ht="12.75">
      <c r="O114" s="1"/>
      <c r="P114" s="1"/>
      <c r="Q114" s="1"/>
    </row>
    <row r="115" spans="15:17" ht="12.75">
      <c r="O115" s="1"/>
      <c r="P115" s="1"/>
      <c r="Q115" s="1"/>
    </row>
    <row r="116" spans="15:17" ht="12.75">
      <c r="O116" s="1"/>
      <c r="P116" s="1"/>
      <c r="Q116" s="1"/>
    </row>
    <row r="117" ht="12.75">
      <c r="Q117" s="1"/>
    </row>
    <row r="118" ht="12.75">
      <c r="Q118" s="1"/>
    </row>
    <row r="119" ht="12.75">
      <c r="Q119" s="1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1" fitToWidth="1" horizontalDpi="300" verticalDpi="300" orientation="portrait" paperSize="9" scale="77" r:id="rId1"/>
  <headerFooter alignWithMargins="0">
    <oddHeader xml:space="preserve">&amp;C  </oddHeader>
    <oddFooter>&amp;L           &amp;A &amp;F &amp;D</oddFooter>
  </headerFooter>
  <rowBreaks count="1" manualBreakCount="1">
    <brk id="29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showZeros="0" zoomScale="75" zoomScaleNormal="75" workbookViewId="0" topLeftCell="A1">
      <selection activeCell="I38" sqref="I38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10.00390625" style="0" customWidth="1"/>
    <col min="4" max="4" width="13.7109375" style="0" customWidth="1"/>
    <col min="5" max="5" width="9.28125" style="0" customWidth="1"/>
    <col min="6" max="6" width="13.00390625" style="0" bestFit="1" customWidth="1"/>
    <col min="7" max="7" width="11.7109375" style="0" customWidth="1"/>
    <col min="8" max="8" width="9.28125" style="0" customWidth="1"/>
    <col min="9" max="9" width="16.28125" style="0" customWidth="1"/>
    <col min="12" max="12" width="9.421875" style="0" customWidth="1"/>
    <col min="13" max="13" width="11.00390625" style="0" customWidth="1"/>
  </cols>
  <sheetData>
    <row r="1" spans="1:15" ht="16.5" customHeight="1" thickBot="1" thickTop="1">
      <c r="A1" s="241" t="s">
        <v>0</v>
      </c>
      <c r="B1" s="478"/>
      <c r="C1" s="476"/>
      <c r="D1" s="477"/>
      <c r="E1" s="240" t="s">
        <v>1</v>
      </c>
      <c r="F1" s="430"/>
      <c r="O1" s="1"/>
    </row>
    <row r="2" spans="1:19" ht="15.75" customHeight="1">
      <c r="A2" s="485" t="s">
        <v>7</v>
      </c>
      <c r="B2" s="486"/>
      <c r="C2" s="491" t="s">
        <v>8</v>
      </c>
      <c r="D2" s="489"/>
      <c r="E2" s="490"/>
      <c r="F2" s="492"/>
      <c r="J2" s="577" t="s">
        <v>5</v>
      </c>
      <c r="K2" s="574" t="s">
        <v>495</v>
      </c>
      <c r="L2" s="574" t="s">
        <v>317</v>
      </c>
      <c r="M2" s="574" t="s">
        <v>13</v>
      </c>
      <c r="N2" s="574" t="s">
        <v>496</v>
      </c>
      <c r="O2" s="574" t="s">
        <v>12</v>
      </c>
      <c r="P2" s="575" t="s">
        <v>497</v>
      </c>
      <c r="Q2" s="575" t="s">
        <v>498</v>
      </c>
      <c r="R2" s="576" t="s">
        <v>499</v>
      </c>
      <c r="S2" s="577" t="s">
        <v>239</v>
      </c>
    </row>
    <row r="3" spans="1:19" ht="15.75" customHeight="1">
      <c r="A3" s="493"/>
      <c r="B3" s="495" t="s">
        <v>9</v>
      </c>
      <c r="C3" s="487"/>
      <c r="D3" s="480"/>
      <c r="E3" s="124" t="s">
        <v>10</v>
      </c>
      <c r="F3" s="237"/>
      <c r="J3" s="588"/>
      <c r="K3" s="589">
        <v>5</v>
      </c>
      <c r="L3" s="590">
        <v>5</v>
      </c>
      <c r="M3" s="589">
        <v>7</v>
      </c>
      <c r="N3" s="591"/>
      <c r="O3" s="589" t="s">
        <v>500</v>
      </c>
      <c r="P3" s="592"/>
      <c r="Q3" s="593">
        <f>K3*L3*0.5</f>
        <v>12.5</v>
      </c>
      <c r="R3" s="594"/>
      <c r="S3" s="595">
        <f>F36</f>
      </c>
    </row>
    <row r="4" spans="1:14" ht="15.75" customHeight="1">
      <c r="A4" s="34"/>
      <c r="B4" s="496" t="s">
        <v>20</v>
      </c>
      <c r="C4" s="488"/>
      <c r="D4" s="481"/>
      <c r="E4" s="124" t="s">
        <v>21</v>
      </c>
      <c r="F4" s="238"/>
      <c r="I4" s="1"/>
      <c r="J4" s="1"/>
      <c r="K4" s="1"/>
      <c r="L4" s="1"/>
      <c r="M4" s="1"/>
      <c r="N4" s="1"/>
    </row>
    <row r="5" spans="1:15" ht="17.25" customHeight="1" thickBot="1">
      <c r="A5" s="60"/>
      <c r="B5" s="494" t="s">
        <v>25</v>
      </c>
      <c r="C5" s="553"/>
      <c r="D5" s="474"/>
      <c r="E5" s="236" t="s">
        <v>26</v>
      </c>
      <c r="F5" s="239"/>
      <c r="G5" s="7"/>
      <c r="H5" s="1"/>
      <c r="I5" s="1"/>
      <c r="J5" s="1"/>
      <c r="K5" s="1"/>
      <c r="L5" s="1"/>
      <c r="M5" s="1"/>
      <c r="N5" s="1"/>
      <c r="O5" s="1"/>
    </row>
    <row r="6" spans="1:14" ht="21.75" thickBot="1" thickTop="1">
      <c r="A6" s="426" t="str">
        <f ca="1">OFFSET(I7,E8,0)</f>
        <v>Vertimill VTM1500</v>
      </c>
      <c r="B6" s="427"/>
      <c r="C6" s="427"/>
      <c r="D6" s="427"/>
      <c r="E6" s="427"/>
      <c r="F6" s="428"/>
      <c r="G6" s="13"/>
      <c r="H6" s="1"/>
      <c r="I6" s="1"/>
      <c r="J6" s="1"/>
      <c r="K6" s="1"/>
      <c r="L6" s="1"/>
      <c r="M6" s="1"/>
      <c r="N6" s="1"/>
    </row>
    <row r="7" spans="1:15" ht="15.75" customHeight="1">
      <c r="A7" s="34"/>
      <c r="B7" s="5"/>
      <c r="C7" s="5"/>
      <c r="D7" s="9"/>
      <c r="E7" s="9"/>
      <c r="F7" s="246"/>
      <c r="G7" s="9"/>
      <c r="H7" s="2"/>
      <c r="J7" t="s">
        <v>474</v>
      </c>
      <c r="K7" s="4" t="s">
        <v>238</v>
      </c>
      <c r="L7" s="4" t="s">
        <v>475</v>
      </c>
      <c r="M7" s="3"/>
      <c r="N7" s="1"/>
      <c r="O7" s="1"/>
    </row>
    <row r="8" spans="1:14" ht="12.75">
      <c r="A8" s="35" t="s">
        <v>41</v>
      </c>
      <c r="B8" s="431"/>
      <c r="C8" s="49"/>
      <c r="D8" s="18" t="s">
        <v>473</v>
      </c>
      <c r="E8" s="558">
        <v>2</v>
      </c>
      <c r="F8" s="36"/>
      <c r="G8" s="12"/>
      <c r="H8" s="9"/>
      <c r="I8" t="s">
        <v>457</v>
      </c>
      <c r="J8" s="4">
        <v>1</v>
      </c>
      <c r="K8" s="550">
        <v>0.7</v>
      </c>
      <c r="L8" s="552">
        <v>1120</v>
      </c>
      <c r="M8" s="417" t="s">
        <v>472</v>
      </c>
      <c r="N8" s="1"/>
    </row>
    <row r="9" spans="1:15" ht="12.75">
      <c r="A9" s="543" t="s">
        <v>44</v>
      </c>
      <c r="B9" s="436"/>
      <c r="C9" s="71"/>
      <c r="D9" s="75"/>
      <c r="E9" s="52"/>
      <c r="F9" s="36"/>
      <c r="G9" s="12"/>
      <c r="H9" s="9"/>
      <c r="I9" t="s">
        <v>507</v>
      </c>
      <c r="J9" s="9">
        <v>2</v>
      </c>
      <c r="K9" s="550">
        <v>0.7</v>
      </c>
      <c r="L9" s="552">
        <v>1120</v>
      </c>
      <c r="M9" s="417" t="s">
        <v>472</v>
      </c>
      <c r="N9" s="1"/>
      <c r="O9" s="1"/>
    </row>
    <row r="10" spans="1:13" ht="15.75">
      <c r="A10" s="544" t="s">
        <v>48</v>
      </c>
      <c r="B10" s="431"/>
      <c r="C10" s="49"/>
      <c r="D10" s="547"/>
      <c r="E10" s="548"/>
      <c r="F10" s="37"/>
      <c r="G10" s="9"/>
      <c r="H10" s="2"/>
      <c r="I10" t="s">
        <v>471</v>
      </c>
      <c r="J10" s="4">
        <v>3</v>
      </c>
      <c r="K10" s="550">
        <v>0.85</v>
      </c>
      <c r="L10" s="552">
        <v>3000</v>
      </c>
      <c r="M10" s="549" t="s">
        <v>472</v>
      </c>
    </row>
    <row r="11" spans="1:15" ht="15" customHeight="1">
      <c r="A11" s="544" t="s">
        <v>51</v>
      </c>
      <c r="B11" s="431"/>
      <c r="C11" s="49"/>
      <c r="D11" s="73"/>
      <c r="E11" s="19"/>
      <c r="F11" s="38"/>
      <c r="I11" t="s">
        <v>506</v>
      </c>
      <c r="J11" s="4">
        <v>4</v>
      </c>
      <c r="K11" s="550">
        <v>0.7</v>
      </c>
      <c r="L11" s="552">
        <f>3000*0.746</f>
        <v>2238</v>
      </c>
      <c r="M11" s="549" t="s">
        <v>472</v>
      </c>
      <c r="N11" s="2"/>
      <c r="O11" s="2"/>
    </row>
    <row r="12" spans="1:15" ht="12.75">
      <c r="A12" s="544" t="s">
        <v>64</v>
      </c>
      <c r="B12" s="436"/>
      <c r="C12" s="50"/>
      <c r="D12" s="74"/>
      <c r="E12" s="52"/>
      <c r="F12" s="77"/>
      <c r="K12" s="2"/>
      <c r="L12" s="2"/>
      <c r="M12" s="2"/>
      <c r="N12" s="2"/>
      <c r="O12" s="2"/>
    </row>
    <row r="13" spans="1:6" ht="12.75">
      <c r="A13" s="543" t="s">
        <v>228</v>
      </c>
      <c r="B13" s="431"/>
      <c r="C13" s="129"/>
      <c r="D13" s="145"/>
      <c r="E13" s="147"/>
      <c r="F13" s="146"/>
    </row>
    <row r="14" spans="1:8" ht="13.5" customHeight="1">
      <c r="A14" s="34"/>
      <c r="B14" s="9"/>
      <c r="C14" s="138"/>
      <c r="D14" s="134"/>
      <c r="E14" s="147"/>
      <c r="F14" s="146"/>
      <c r="H14" s="2"/>
    </row>
    <row r="15" spans="1:8" ht="12.75">
      <c r="A15" s="115" t="s">
        <v>230</v>
      </c>
      <c r="B15" s="11"/>
      <c r="C15" s="125"/>
      <c r="D15" s="148" t="s">
        <v>231</v>
      </c>
      <c r="E15" s="147" t="s">
        <v>78</v>
      </c>
      <c r="F15" s="146"/>
      <c r="H15" s="2"/>
    </row>
    <row r="16" spans="1:8" ht="12.75">
      <c r="A16" s="48" t="s">
        <v>232</v>
      </c>
      <c r="B16" s="431"/>
      <c r="C16" s="138"/>
      <c r="D16" s="149" t="s">
        <v>82</v>
      </c>
      <c r="E16" s="150">
        <f>IF(B16&gt;0,IF(B16=2,1.3,1),1)</f>
        <v>1</v>
      </c>
      <c r="F16" s="151"/>
      <c r="H16" s="2"/>
    </row>
    <row r="17" spans="1:8" ht="12.75">
      <c r="A17" s="48" t="s">
        <v>233</v>
      </c>
      <c r="B17" s="431"/>
      <c r="C17" s="138"/>
      <c r="D17" s="149" t="s">
        <v>234</v>
      </c>
      <c r="E17" s="150">
        <f>IF(B17&gt;0,IF(B17=1,1.2,1),1)</f>
        <v>1</v>
      </c>
      <c r="F17" s="151"/>
      <c r="H17" s="2"/>
    </row>
    <row r="18" spans="1:8" ht="12.75">
      <c r="A18" s="34"/>
      <c r="B18" s="11"/>
      <c r="C18" s="129"/>
      <c r="D18" s="149" t="s">
        <v>88</v>
      </c>
      <c r="E18" s="150">
        <f>IF(B11&gt;0,IF(B10&lt;4000*(13/(B12/1.103))^0.5,1,1+(B12/1.103-7)*((B10/(4000*(13/(B12/1.103))^0.5))-1)/(B10/B11)),1)</f>
        <v>1</v>
      </c>
      <c r="F18" s="151"/>
      <c r="G18" s="9"/>
      <c r="H18" s="4"/>
    </row>
    <row r="19" spans="1:6" ht="12.75">
      <c r="A19" s="34"/>
      <c r="B19" s="11"/>
      <c r="C19" s="129"/>
      <c r="D19" s="149" t="s">
        <v>90</v>
      </c>
      <c r="E19" s="150">
        <f>IF(B11&gt;0,IF(B11&lt;75,(B11+10.3)/(1.145*B11),1),1)</f>
        <v>1</v>
      </c>
      <c r="F19" s="133"/>
    </row>
    <row r="20" spans="1:6" ht="12.75">
      <c r="A20" s="34"/>
      <c r="B20" s="11"/>
      <c r="C20" s="129"/>
      <c r="D20" s="149" t="s">
        <v>480</v>
      </c>
      <c r="E20" s="555">
        <f ca="1">OFFSET(K7,E8,0)</f>
        <v>0.7</v>
      </c>
      <c r="F20" s="133"/>
    </row>
    <row r="21" spans="1:8" ht="12.75">
      <c r="A21" s="34"/>
      <c r="B21" s="5"/>
      <c r="C21" s="125"/>
      <c r="D21" s="155" t="s">
        <v>102</v>
      </c>
      <c r="E21" s="156">
        <f>E16*E17*E18*E19*E20</f>
        <v>0.7</v>
      </c>
      <c r="F21" s="157"/>
      <c r="G21" s="9"/>
      <c r="H21" s="4"/>
    </row>
    <row r="22" spans="1:9" ht="4.5" customHeight="1">
      <c r="A22" s="34"/>
      <c r="B22" s="5"/>
      <c r="C22" s="125"/>
      <c r="D22" s="155"/>
      <c r="E22" s="156"/>
      <c r="F22" s="157"/>
      <c r="G22" s="9"/>
      <c r="H22" s="4"/>
      <c r="I22" s="419"/>
    </row>
    <row r="23" spans="1:8" ht="12.75">
      <c r="A23" s="34"/>
      <c r="B23" s="76"/>
      <c r="C23" s="158"/>
      <c r="D23" s="125"/>
      <c r="E23" s="134" t="s">
        <v>240</v>
      </c>
      <c r="F23" s="159">
        <f>IF(B10&gt;0,10*B12*(B11^(-0.5)-B10^(-0.5)),"")</f>
      </c>
      <c r="H23" s="4"/>
    </row>
    <row r="24" spans="1:15" ht="12.75">
      <c r="A24" s="41"/>
      <c r="B24" s="25"/>
      <c r="C24" s="160"/>
      <c r="D24" s="125"/>
      <c r="E24" s="161" t="s">
        <v>241</v>
      </c>
      <c r="F24" s="159">
        <f>IF(B10&gt;0,10*B12*(B11^(-0.5)-B10^(-0.5))*E21,"")</f>
      </c>
      <c r="G24" s="10"/>
      <c r="L24" s="4"/>
      <c r="M24" s="4"/>
      <c r="N24" s="4"/>
      <c r="O24" s="4"/>
    </row>
    <row r="25" spans="1:15" ht="12.75">
      <c r="A25" s="41"/>
      <c r="B25" s="25"/>
      <c r="C25" s="416"/>
      <c r="D25" s="415"/>
      <c r="E25" s="414"/>
      <c r="F25" s="159"/>
      <c r="G25" s="10"/>
      <c r="L25" s="4"/>
      <c r="M25" s="4"/>
      <c r="N25" s="4"/>
      <c r="O25" s="4"/>
    </row>
    <row r="26" spans="1:15" ht="20.25" customHeight="1">
      <c r="A26" s="109"/>
      <c r="B26" s="31"/>
      <c r="C26" s="162"/>
      <c r="D26" s="162"/>
      <c r="E26" s="163" t="s">
        <v>470</v>
      </c>
      <c r="F26" s="164">
        <f>IF(B10&gt;0,ROUNDUP(F24*B8,-1),"")</f>
      </c>
      <c r="G26" s="11"/>
      <c r="M26" s="3"/>
      <c r="N26" s="3"/>
      <c r="O26" s="3"/>
    </row>
    <row r="27" spans="1:15" ht="20.25" customHeight="1">
      <c r="A27" s="109"/>
      <c r="B27" s="31"/>
      <c r="C27" s="162"/>
      <c r="D27" s="127"/>
      <c r="E27" s="127"/>
      <c r="F27" s="551"/>
      <c r="G27" s="11"/>
      <c r="M27" s="3"/>
      <c r="N27" s="3"/>
      <c r="O27" s="3"/>
    </row>
    <row r="28" spans="1:15" ht="20.25" customHeight="1">
      <c r="A28" s="109"/>
      <c r="B28" s="31"/>
      <c r="C28" s="162"/>
      <c r="D28" s="162"/>
      <c r="E28" s="556" t="s">
        <v>481</v>
      </c>
      <c r="F28" s="557" t="e">
        <f>F26/E20</f>
        <v>#VALUE!</v>
      </c>
      <c r="G28" s="11"/>
      <c r="M28" s="3"/>
      <c r="N28" s="3"/>
      <c r="O28" s="3"/>
    </row>
    <row r="29" spans="1:15" ht="20.25" customHeight="1">
      <c r="A29" s="109"/>
      <c r="B29" s="31"/>
      <c r="C29" s="162"/>
      <c r="D29" s="162"/>
      <c r="E29" s="163"/>
      <c r="F29" s="164"/>
      <c r="G29" s="11"/>
      <c r="M29" s="3"/>
      <c r="N29" s="3"/>
      <c r="O29" s="3"/>
    </row>
    <row r="30" spans="1:15" s="7" customFormat="1" ht="14.25" customHeight="1" thickBot="1">
      <c r="A30" s="102"/>
      <c r="C30" s="126"/>
      <c r="D30" s="126"/>
      <c r="E30" s="144"/>
      <c r="F30" s="165"/>
      <c r="G30" s="13"/>
      <c r="H30" s="13"/>
      <c r="I30"/>
      <c r="J30" s="4"/>
      <c r="K30" s="3"/>
      <c r="L30" s="3"/>
      <c r="M30" s="3"/>
      <c r="N30" s="6"/>
      <c r="O30" s="6"/>
    </row>
    <row r="31" spans="1:22" ht="20.25">
      <c r="A31" s="247" t="str">
        <f>CONCATENATE(A6," "," Size")</f>
        <v>Vertimill VTM1500  Size</v>
      </c>
      <c r="B31" s="113"/>
      <c r="C31" s="183"/>
      <c r="D31" s="184"/>
      <c r="E31" s="185"/>
      <c r="F31" s="186"/>
      <c r="G31" s="5"/>
      <c r="H31" s="5"/>
      <c r="I31" s="416"/>
      <c r="L31" s="418"/>
      <c r="M31" s="3"/>
      <c r="N31" s="3"/>
      <c r="O31" s="3"/>
      <c r="V31" s="5"/>
    </row>
    <row r="32" spans="1:22" ht="12.75">
      <c r="A32" s="34"/>
      <c r="B32" s="5"/>
      <c r="C32" s="187"/>
      <c r="D32" s="125"/>
      <c r="E32" s="188"/>
      <c r="F32" s="182"/>
      <c r="G32" s="5"/>
      <c r="I32" s="416"/>
      <c r="L32" s="418"/>
      <c r="M32" s="3"/>
      <c r="N32" s="3"/>
      <c r="O32" s="3"/>
      <c r="V32" s="5"/>
    </row>
    <row r="33" spans="1:22" ht="12.75">
      <c r="A33" s="48"/>
      <c r="B33" s="119"/>
      <c r="C33" s="187"/>
      <c r="D33" s="125"/>
      <c r="E33" s="189"/>
      <c r="F33" s="554"/>
      <c r="G33" s="5"/>
      <c r="H33" s="5"/>
      <c r="I33" s="416"/>
      <c r="J33" s="416"/>
      <c r="K33" s="417"/>
      <c r="L33" s="418"/>
      <c r="M33" s="3"/>
      <c r="N33" s="3"/>
      <c r="O33" s="3"/>
      <c r="V33" s="5"/>
    </row>
    <row r="34" spans="1:22" ht="12.75">
      <c r="A34" s="34"/>
      <c r="B34" s="5"/>
      <c r="C34" s="187"/>
      <c r="D34" s="125"/>
      <c r="E34" s="144" t="s">
        <v>476</v>
      </c>
      <c r="F34" s="190" t="e">
        <f>F26/C5</f>
        <v>#VALUE!</v>
      </c>
      <c r="G34" s="5"/>
      <c r="H34" s="13"/>
      <c r="K34" s="1"/>
      <c r="L34" s="3"/>
      <c r="M34" s="3"/>
      <c r="N34" s="3"/>
      <c r="O34" s="3"/>
      <c r="V34" s="5"/>
    </row>
    <row r="35" spans="1:22" ht="18">
      <c r="A35" s="101"/>
      <c r="B35" s="22"/>
      <c r="C35" s="187"/>
      <c r="D35" s="191"/>
      <c r="E35" s="600">
        <f ca="1">IF(B10&gt;0,IF(F34/0.97&gt;OFFSET(L7,E8,0),"MILL TOO SMALL - INCREASE No. OF UNITS",""),"")</f>
      </c>
      <c r="F35" s="192"/>
      <c r="G35" s="8"/>
      <c r="H35" s="107"/>
      <c r="K35" s="1"/>
      <c r="L35" s="3"/>
      <c r="M35" s="3"/>
      <c r="N35" s="3"/>
      <c r="O35" s="3"/>
      <c r="V35" s="5"/>
    </row>
    <row r="36" spans="1:22" ht="21" thickBot="1">
      <c r="A36" s="117"/>
      <c r="B36" s="122"/>
      <c r="C36" s="193"/>
      <c r="D36" s="194"/>
      <c r="E36" s="195" t="s">
        <v>460</v>
      </c>
      <c r="F36" s="196">
        <f>IF(B10&gt;0,ROUNDUP(F34/0.97,-1),"")</f>
      </c>
      <c r="G36" s="416"/>
      <c r="H36" s="1"/>
      <c r="I36" s="1"/>
      <c r="J36" s="1"/>
      <c r="K36" s="1"/>
      <c r="L36" s="3"/>
      <c r="M36" s="3"/>
      <c r="N36" s="3"/>
      <c r="O36" s="3"/>
      <c r="V36" s="5"/>
    </row>
    <row r="37" spans="3:22" ht="13.5" thickTop="1">
      <c r="C37" s="197"/>
      <c r="D37" s="197"/>
      <c r="E37" s="198"/>
      <c r="F37" s="197"/>
      <c r="H37" s="1"/>
      <c r="I37" s="1"/>
      <c r="J37" s="1"/>
      <c r="K37" s="1"/>
      <c r="L37" s="3"/>
      <c r="M37" s="3"/>
      <c r="N37" s="3"/>
      <c r="O37" s="3"/>
      <c r="V37" s="5"/>
    </row>
    <row r="38" spans="3:22" ht="12.75">
      <c r="C38" s="197"/>
      <c r="D38" s="197"/>
      <c r="E38" s="198"/>
      <c r="F38" s="197"/>
      <c r="H38" s="1"/>
      <c r="I38" s="1"/>
      <c r="J38" s="1"/>
      <c r="K38" s="1"/>
      <c r="L38" s="3"/>
      <c r="M38" s="3"/>
      <c r="N38" s="3"/>
      <c r="O38" s="3"/>
      <c r="V38" s="5"/>
    </row>
    <row r="39" spans="5:22" ht="12.75">
      <c r="E39" s="1"/>
      <c r="H39" s="1"/>
      <c r="I39" s="1"/>
      <c r="J39" s="1"/>
      <c r="K39" s="1"/>
      <c r="L39" s="3" t="s">
        <v>482</v>
      </c>
      <c r="M39" s="3" t="s">
        <v>483</v>
      </c>
      <c r="N39" s="3" t="s">
        <v>484</v>
      </c>
      <c r="O39" s="3" t="s">
        <v>239</v>
      </c>
      <c r="P39" s="3" t="s">
        <v>485</v>
      </c>
      <c r="V39" s="5"/>
    </row>
    <row r="40" spans="5:22" ht="12.75">
      <c r="E40" s="1"/>
      <c r="H40" s="1"/>
      <c r="I40" s="1"/>
      <c r="J40" s="1"/>
      <c r="K40" s="1"/>
      <c r="L40" s="3">
        <v>351</v>
      </c>
      <c r="M40" s="3">
        <v>25</v>
      </c>
      <c r="N40" s="559">
        <v>20</v>
      </c>
      <c r="O40" s="559">
        <v>1150</v>
      </c>
      <c r="P40" s="559">
        <v>1</v>
      </c>
      <c r="Q40" s="218" t="s">
        <v>486</v>
      </c>
      <c r="V40" s="5"/>
    </row>
    <row r="41" spans="5:22" ht="12.75">
      <c r="E41" s="1"/>
      <c r="H41" s="1"/>
      <c r="I41" s="1"/>
      <c r="J41" s="1"/>
      <c r="K41" s="1"/>
      <c r="L41" s="3"/>
      <c r="M41" s="3"/>
      <c r="N41" s="559">
        <v>19</v>
      </c>
      <c r="O41" s="559">
        <v>1460</v>
      </c>
      <c r="P41" s="218">
        <v>2</v>
      </c>
      <c r="Q41" s="218" t="s">
        <v>487</v>
      </c>
      <c r="V41" s="5"/>
    </row>
    <row r="42" spans="5:22" ht="12.75">
      <c r="E42" s="1"/>
      <c r="H42" s="1"/>
      <c r="I42" s="1"/>
      <c r="J42" s="1"/>
      <c r="K42" s="1"/>
      <c r="L42" s="3"/>
      <c r="M42" s="3"/>
      <c r="N42" s="559">
        <v>18</v>
      </c>
      <c r="O42" s="559">
        <v>1800</v>
      </c>
      <c r="P42" s="218">
        <v>2</v>
      </c>
      <c r="Q42" s="218" t="s">
        <v>489</v>
      </c>
      <c r="V42" s="5"/>
    </row>
    <row r="43" spans="5:22" ht="12.75">
      <c r="E43" s="1"/>
      <c r="H43" s="1"/>
      <c r="I43" s="1"/>
      <c r="J43" s="1"/>
      <c r="K43" s="1"/>
      <c r="L43" s="3"/>
      <c r="M43" s="3"/>
      <c r="N43" s="559">
        <v>17</v>
      </c>
      <c r="O43" s="559">
        <v>2190</v>
      </c>
      <c r="P43" s="218">
        <v>2</v>
      </c>
      <c r="Q43" s="218" t="s">
        <v>488</v>
      </c>
      <c r="V43" s="5"/>
    </row>
    <row r="44" spans="5:22" ht="12.75">
      <c r="E44" s="1"/>
      <c r="H44" s="1"/>
      <c r="I44" s="1"/>
      <c r="J44" s="1"/>
      <c r="K44" s="1"/>
      <c r="L44" s="3"/>
      <c r="M44" s="3"/>
      <c r="N44" s="559">
        <v>16</v>
      </c>
      <c r="O44" s="559">
        <v>2630</v>
      </c>
      <c r="P44" s="218">
        <v>3</v>
      </c>
      <c r="Q44" s="218" t="s">
        <v>489</v>
      </c>
      <c r="V44" s="5"/>
    </row>
    <row r="45" spans="5:22" ht="12.75">
      <c r="E45" s="1"/>
      <c r="H45" s="1"/>
      <c r="I45" s="1"/>
      <c r="J45" s="1"/>
      <c r="K45" s="1"/>
      <c r="L45" s="3"/>
      <c r="M45" s="3"/>
      <c r="N45" s="559">
        <v>15</v>
      </c>
      <c r="O45" s="559">
        <v>3140</v>
      </c>
      <c r="P45" s="218">
        <v>3</v>
      </c>
      <c r="Q45" s="218" t="s">
        <v>488</v>
      </c>
      <c r="V45" s="5"/>
    </row>
    <row r="46" spans="5:21" s="5" customFormat="1" ht="12.75">
      <c r="E46" s="7"/>
      <c r="H46" s="7"/>
      <c r="I46" s="7"/>
      <c r="J46" s="7"/>
      <c r="K46" s="7"/>
      <c r="L46" s="3"/>
      <c r="M46" s="3"/>
      <c r="N46" s="3"/>
      <c r="O46" s="3"/>
      <c r="P46"/>
      <c r="Q46"/>
      <c r="R46"/>
      <c r="S46"/>
      <c r="T46"/>
      <c r="U46"/>
    </row>
    <row r="47" spans="5:15" ht="12.75">
      <c r="E47" s="1"/>
      <c r="H47" s="1"/>
      <c r="I47" s="1"/>
      <c r="J47" s="1"/>
      <c r="K47" s="1"/>
      <c r="L47" s="3"/>
      <c r="M47" s="3"/>
      <c r="N47" s="3"/>
      <c r="O47" s="3"/>
    </row>
    <row r="48" spans="5:15" ht="12.75">
      <c r="E48" s="1"/>
      <c r="H48" s="1"/>
      <c r="I48" s="1"/>
      <c r="J48" s="1"/>
      <c r="K48" s="1"/>
      <c r="L48" s="3"/>
      <c r="M48" s="3"/>
      <c r="N48" s="3"/>
      <c r="O48" s="3"/>
    </row>
    <row r="49" spans="5:15" ht="12.75">
      <c r="E49" s="1"/>
      <c r="H49" s="1"/>
      <c r="I49" s="1"/>
      <c r="J49" s="1"/>
      <c r="K49" s="1"/>
      <c r="L49" s="3"/>
      <c r="M49" s="3"/>
      <c r="N49" s="3"/>
      <c r="O49" s="3"/>
    </row>
    <row r="50" spans="5:15" ht="12.75">
      <c r="E50" s="1"/>
      <c r="H50" s="1"/>
      <c r="I50" s="1"/>
      <c r="J50" s="1"/>
      <c r="K50" s="1"/>
      <c r="L50" s="3"/>
      <c r="M50" s="3"/>
      <c r="N50" s="3"/>
      <c r="O50" s="3"/>
    </row>
    <row r="51" spans="5:15" ht="12.75">
      <c r="E51" s="1"/>
      <c r="H51" s="1"/>
      <c r="I51" s="1"/>
      <c r="J51" s="1"/>
      <c r="K51" s="1"/>
      <c r="L51" s="3"/>
      <c r="M51" s="3"/>
      <c r="N51" s="3"/>
      <c r="O51" s="3"/>
    </row>
    <row r="52" spans="5:15" ht="12.75">
      <c r="E52" s="1"/>
      <c r="H52" s="1"/>
      <c r="I52" s="1"/>
      <c r="J52" s="1"/>
      <c r="K52" s="1"/>
      <c r="L52" s="3"/>
      <c r="M52" s="3"/>
      <c r="N52" s="3"/>
      <c r="O52" s="3"/>
    </row>
    <row r="53" spans="5:15" ht="12.75">
      <c r="E53" s="1"/>
      <c r="H53" s="1"/>
      <c r="I53" s="1"/>
      <c r="J53" s="1"/>
      <c r="K53" s="1"/>
      <c r="L53" s="3"/>
      <c r="M53" s="3"/>
      <c r="N53" s="3"/>
      <c r="O53" s="3"/>
    </row>
    <row r="54" spans="1:15" ht="12.75">
      <c r="A54" s="8"/>
      <c r="B54" s="1"/>
      <c r="E54" s="1"/>
      <c r="H54" s="1"/>
      <c r="I54" s="1"/>
      <c r="J54" s="1"/>
      <c r="K54" s="1"/>
      <c r="L54" s="3"/>
      <c r="M54" s="3"/>
      <c r="N54" s="3"/>
      <c r="O54" s="3"/>
    </row>
    <row r="55" spans="1:15" ht="12.75">
      <c r="A55" s="15"/>
      <c r="B55" s="1"/>
      <c r="E55" s="1"/>
      <c r="H55" s="1"/>
      <c r="I55" s="1"/>
      <c r="J55" s="1"/>
      <c r="K55" s="1"/>
      <c r="L55" s="3"/>
      <c r="M55" s="3"/>
      <c r="N55" s="3"/>
      <c r="O55" s="3"/>
    </row>
    <row r="56" spans="1:11" ht="15.75">
      <c r="A56" s="16"/>
      <c r="B56" s="1"/>
      <c r="E56" s="1"/>
      <c r="H56" s="1"/>
      <c r="I56" s="1"/>
      <c r="J56" s="1"/>
      <c r="K56" s="1"/>
    </row>
    <row r="57" spans="1:11" ht="15.75">
      <c r="A57" s="16"/>
      <c r="B57" s="1"/>
      <c r="E57" s="1"/>
      <c r="H57" s="1"/>
      <c r="I57" s="1"/>
      <c r="J57" s="1"/>
      <c r="K57" s="1"/>
    </row>
    <row r="58" spans="1:11" ht="15.75">
      <c r="A58" s="16"/>
      <c r="B58" s="1"/>
      <c r="E58" s="1"/>
      <c r="H58" s="1"/>
      <c r="I58" s="1"/>
      <c r="J58" s="1"/>
      <c r="K58" s="1"/>
    </row>
    <row r="59" spans="1:11" ht="15.75">
      <c r="A59" s="16"/>
      <c r="B59" s="1"/>
      <c r="E59" s="1"/>
      <c r="H59" s="1"/>
      <c r="I59" s="1"/>
      <c r="J59" s="1"/>
      <c r="K59" s="1"/>
    </row>
    <row r="60" spans="1:11" ht="15.75">
      <c r="A60" s="16"/>
      <c r="B60" s="1"/>
      <c r="E60" s="1"/>
      <c r="H60" s="1"/>
      <c r="I60" s="1"/>
      <c r="J60" s="1"/>
      <c r="K60" s="1"/>
    </row>
    <row r="61" spans="1:11" ht="15.75">
      <c r="A61" s="16"/>
      <c r="B61" s="1"/>
      <c r="E61" s="1"/>
      <c r="H61" s="1"/>
      <c r="I61" s="1"/>
      <c r="J61" s="1"/>
      <c r="K61" s="1"/>
    </row>
    <row r="62" spans="1:11" ht="12.75">
      <c r="A62" s="7"/>
      <c r="B62" s="1"/>
      <c r="E62" s="1"/>
      <c r="H62" s="1"/>
      <c r="I62" s="1"/>
      <c r="J62" s="1"/>
      <c r="K62" s="1"/>
    </row>
    <row r="63" spans="1:11" ht="12.75">
      <c r="A63" s="7"/>
      <c r="B63" s="1"/>
      <c r="E63" s="1"/>
      <c r="H63" s="1"/>
      <c r="I63" s="1"/>
      <c r="J63" s="1"/>
      <c r="K63" s="1"/>
    </row>
    <row r="64" spans="1:11" ht="12.75">
      <c r="A64" s="7"/>
      <c r="B64" s="1"/>
      <c r="E64" s="1"/>
      <c r="H64" s="1"/>
      <c r="I64" s="1"/>
      <c r="J64" s="1"/>
      <c r="K64" s="1"/>
    </row>
    <row r="65" spans="1:11" ht="12.75">
      <c r="A65" s="7"/>
      <c r="B65" s="1"/>
      <c r="E65" s="1"/>
      <c r="F65" s="1"/>
      <c r="G65" s="1"/>
      <c r="H65" s="1"/>
      <c r="I65" s="1"/>
      <c r="J65" s="1"/>
      <c r="K65" s="1"/>
    </row>
    <row r="66" spans="1:11" ht="12.75">
      <c r="A66" s="7"/>
      <c r="B66" s="1"/>
      <c r="E66" s="1"/>
      <c r="F66" s="1"/>
      <c r="G66" s="1"/>
      <c r="H66" s="1"/>
      <c r="I66" s="1"/>
      <c r="J66" s="1"/>
      <c r="K66" s="1"/>
    </row>
    <row r="67" spans="1:11" ht="12.75">
      <c r="A67" s="7"/>
      <c r="B67" s="1"/>
      <c r="E67" s="1"/>
      <c r="F67" s="1"/>
      <c r="G67" s="1"/>
      <c r="H67" s="1"/>
      <c r="I67" s="1"/>
      <c r="J67" s="1"/>
      <c r="K67" s="1"/>
    </row>
    <row r="68" spans="1:11" ht="12.75">
      <c r="A68" s="7"/>
      <c r="B68" s="1"/>
      <c r="E68" s="1"/>
      <c r="F68" s="1"/>
      <c r="G68" s="1"/>
      <c r="H68" s="1"/>
      <c r="I68" s="1"/>
      <c r="J68" s="1"/>
      <c r="K68" s="1"/>
    </row>
    <row r="69" spans="1:11" ht="12.75">
      <c r="A69" s="7"/>
      <c r="B69" s="1"/>
      <c r="E69" s="1"/>
      <c r="F69" s="1"/>
      <c r="G69" s="1"/>
      <c r="H69" s="1"/>
      <c r="I69" s="1"/>
      <c r="J69" s="1"/>
      <c r="K69" s="1"/>
    </row>
    <row r="70" spans="1:11" ht="12.75">
      <c r="A70" s="7"/>
      <c r="B70" s="1"/>
      <c r="E70" s="1"/>
      <c r="F70" s="1"/>
      <c r="G70" s="1"/>
      <c r="H70" s="1"/>
      <c r="I70" s="1"/>
      <c r="J70" s="1"/>
      <c r="K70" s="1"/>
    </row>
    <row r="71" spans="1:11" ht="12.75">
      <c r="A71" s="7"/>
      <c r="B71" s="1"/>
      <c r="E71" s="1"/>
      <c r="F71" s="1"/>
      <c r="G71" s="1"/>
      <c r="H71" s="1"/>
      <c r="I71" s="1"/>
      <c r="J71" s="1"/>
      <c r="K71" s="1"/>
    </row>
    <row r="72" spans="1:11" ht="12.75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7:18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7:18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7:18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7:18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7:18" ht="12.7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7:18" ht="12.7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7:18" ht="12.7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6:18" ht="12.75">
      <c r="P92" s="1"/>
      <c r="Q92" s="1"/>
      <c r="R92" s="1"/>
    </row>
    <row r="93" spans="16:18" ht="12.75">
      <c r="P93" s="1"/>
      <c r="Q93" s="1"/>
      <c r="R93" s="1"/>
    </row>
    <row r="94" spans="16:18" ht="12.75">
      <c r="P94" s="1"/>
      <c r="Q94" s="1"/>
      <c r="R94" s="1"/>
    </row>
    <row r="95" ht="12.75">
      <c r="R95" s="1"/>
    </row>
    <row r="96" ht="12.75">
      <c r="R96" s="1"/>
    </row>
    <row r="97" ht="12.75">
      <c r="R97" s="1"/>
    </row>
  </sheetData>
  <sheetProtection sheet="1" objects="1" scenarios="1"/>
  <printOptions horizontalCentered="1" verticalCentered="1"/>
  <pageMargins left="1.1811023622047245" right="0.9448818897637796" top="0.984251968503937" bottom="0.984251968503937" header="0.5118110236220472" footer="0.5118110236220472"/>
  <pageSetup fitToHeight="2" fitToWidth="1" horizontalDpi="300" verticalDpi="300" orientation="portrait" paperSize="9" r:id="rId1"/>
  <headerFooter alignWithMargins="0">
    <oddHeader xml:space="preserve">&amp;C  </oddHeader>
    <oddFooter>&amp;L           &amp;A 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B.C.Povey</dc:creator>
  <cp:keywords/>
  <dc:description/>
  <cp:lastModifiedBy>User</cp:lastModifiedBy>
  <cp:lastPrinted>2011-12-12T00:46:42Z</cp:lastPrinted>
  <dcterms:created xsi:type="dcterms:W3CDTF">1999-06-09T08:15:36Z</dcterms:created>
  <dcterms:modified xsi:type="dcterms:W3CDTF">2011-12-12T01:49:42Z</dcterms:modified>
  <cp:category/>
  <cp:version/>
  <cp:contentType/>
  <cp:contentStatus/>
</cp:coreProperties>
</file>